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defaultThemeVersion="166925"/>
  <xr:revisionPtr revIDLastSave="0" documentId="13_ncr:1_{3A712066-1ED6-458D-A7FE-2F1AC0010C20}" xr6:coauthVersionLast="47" xr6:coauthVersionMax="47" xr10:uidLastSave="{00000000-0000-0000-0000-000000000000}"/>
  <bookViews>
    <workbookView xWindow="-108" yWindow="-108" windowWidth="30936" windowHeight="16776" tabRatio="934" activeTab="2" xr2:uid="{80BFF9C7-0E2C-4BE6-92DA-CBA0AAA1D068}"/>
  </bookViews>
  <sheets>
    <sheet name="PROPOSTA_GLOBAL" sheetId="76" r:id="rId1"/>
    <sheet name="NOTAS_EXPLICATIVAS" sheetId="93" r:id="rId2"/>
    <sheet name="DADOS_BASICOS" sheetId="95" r:id="rId3"/>
    <sheet name="CURITIBA" sheetId="82" r:id="rId4"/>
    <sheet name="GUARAPUAVA" sheetId="97" r:id="rId5"/>
    <sheet name="LONDRINA" sheetId="98" r:id="rId6"/>
    <sheet name="MARINGA" sheetId="99" r:id="rId7"/>
    <sheet name="PARANAGUA" sheetId="100" r:id="rId8"/>
    <sheet name="PONTA_GROSSA" sheetId="101" r:id="rId9"/>
    <sheet name="UNIFORMES" sheetId="8" r:id="rId10"/>
    <sheet name="EQUIPAMENTOS" sheetId="115" r:id="rId11"/>
    <sheet name="UTENSÍLIOS" sheetId="110" r:id="rId12"/>
    <sheet name="INSUMOS" sheetId="109" r:id="rId13"/>
    <sheet name="MATERIAIS_HIGIENE_PESSOAL" sheetId="116" r:id="rId14"/>
    <sheet name="PRODUTIVIDADE" sheetId="102" r:id="rId15"/>
    <sheet name="DEM_CUSTO_M2 (serv+enc)" sheetId="118" r:id="rId16"/>
  </sheets>
  <definedNames>
    <definedName name="_xlnm._FilterDatabase" localSheetId="10" hidden="1">EQUIPAMENTOS!$A$8:$X$8</definedName>
    <definedName name="_xlnm._FilterDatabase" localSheetId="12" hidden="1">INSUMOS!$A$8:$W$8</definedName>
    <definedName name="_xlnm._FilterDatabase" localSheetId="13" hidden="1">MATERIAIS_HIGIENE_PESSOAL!$A$8:$X$8</definedName>
    <definedName name="_xlnm._FilterDatabase" localSheetId="11" hidden="1">UTENSÍLIOS!$A$8:$V$8</definedName>
    <definedName name="_xlnm.Print_Area" localSheetId="3">CURITIBA!$A$1:$H$151</definedName>
    <definedName name="_xlnm.Print_Area" localSheetId="15">'DEM_CUSTO_M2 (serv+enc)'!$A$1:$J$214</definedName>
    <definedName name="_xlnm.Print_Area" localSheetId="10">EQUIPAMENTOS!$A$1:$W$24</definedName>
    <definedName name="_xlnm.Print_Area" localSheetId="4">GUARAPUAVA!$A$1:$F$150</definedName>
    <definedName name="_xlnm.Print_Area" localSheetId="12">INSUMOS!$A$1:$V$52</definedName>
    <definedName name="_xlnm.Print_Area" localSheetId="5">LONDRINA!$A$1:$G$146</definedName>
    <definedName name="_xlnm.Print_Area" localSheetId="6">MARINGA!$A$1:$F$149</definedName>
    <definedName name="_xlnm.Print_Area" localSheetId="13">MATERIAIS_HIGIENE_PESSOAL!$A$1:$X$22</definedName>
    <definedName name="_xlnm.Print_Area" localSheetId="1">NOTAS_EXPLICATIVAS!$A$1:$F$85</definedName>
    <definedName name="_xlnm.Print_Area" localSheetId="7">PARANAGUA!$A$1:$F$149</definedName>
    <definedName name="_xlnm.Print_Area" localSheetId="8">PONTA_GROSSA!$A$1:$F$149</definedName>
    <definedName name="_xlnm.Print_Area" localSheetId="0">PROPOSTA_GLOBAL!$A$1:$L$35</definedName>
    <definedName name="_xlnm.Print_Area" localSheetId="9">UNIFORMES!$A$1:$F$49</definedName>
    <definedName name="_xlnm.Print_Area" localSheetId="11">UTENSÍLIOS!$A$1:$V$76</definedName>
    <definedName name="_xlnm.Print_Titles" localSheetId="3">CURITIBA!$1:$11</definedName>
    <definedName name="_xlnm.Print_Titles" localSheetId="2">DADOS_BASICOS!$1:$6</definedName>
    <definedName name="_xlnm.Print_Titles" localSheetId="15">'DEM_CUSTO_M2 (serv+enc)'!$1:$5</definedName>
    <definedName name="_xlnm.Print_Titles" localSheetId="10">EQUIPAMENTOS!$4:$8</definedName>
    <definedName name="_xlnm.Print_Titles" localSheetId="4">GUARAPUAVA!$1:$11</definedName>
    <definedName name="_xlnm.Print_Titles" localSheetId="12">INSUMOS!$1:$9</definedName>
    <definedName name="_xlnm.Print_Titles" localSheetId="5">LONDRINA!$1:$11</definedName>
    <definedName name="_xlnm.Print_Titles" localSheetId="6">MARINGA!$1:$11</definedName>
    <definedName name="_xlnm.Print_Titles" localSheetId="13">MATERIAIS_HIGIENE_PESSOAL!$4:$8</definedName>
    <definedName name="_xlnm.Print_Titles" localSheetId="1">NOTAS_EXPLICATIVAS!$1:$8</definedName>
    <definedName name="_xlnm.Print_Titles" localSheetId="7">PARANAGUA!$1:$11</definedName>
    <definedName name="_xlnm.Print_Titles" localSheetId="8">PONTA_GROSSA!$1:$11</definedName>
    <definedName name="_xlnm.Print_Titles" localSheetId="14">PRODUTIVIDADE!$1:$6</definedName>
    <definedName name="_xlnm.Print_Titles" localSheetId="11">UTENSÍLIOS!$1:$9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4" i="116" l="1"/>
  <c r="M13" i="110"/>
  <c r="N13" i="116"/>
  <c r="M16" i="116"/>
  <c r="M15" i="116"/>
  <c r="M14" i="116"/>
  <c r="M13" i="116"/>
  <c r="M27" i="110"/>
  <c r="M19" i="110"/>
  <c r="M12" i="110"/>
  <c r="M11" i="110"/>
  <c r="M14" i="110"/>
  <c r="M15" i="110"/>
  <c r="M16" i="110"/>
  <c r="M17" i="110"/>
  <c r="M18" i="110"/>
  <c r="M22" i="110"/>
  <c r="M23" i="110"/>
  <c r="M24" i="110"/>
  <c r="M25" i="110"/>
  <c r="M26" i="110"/>
  <c r="M29" i="110"/>
  <c r="M28" i="110"/>
  <c r="M30" i="110"/>
  <c r="M34" i="110"/>
  <c r="M35" i="110"/>
  <c r="M36" i="110"/>
  <c r="M55" i="110"/>
  <c r="M37" i="110"/>
  <c r="M38" i="110"/>
  <c r="M39" i="110"/>
  <c r="M40" i="110"/>
  <c r="M41" i="110"/>
  <c r="M42" i="110"/>
  <c r="M61" i="110"/>
  <c r="M43" i="110"/>
  <c r="M56" i="110"/>
  <c r="M46" i="110"/>
  <c r="M47" i="110"/>
  <c r="M45" i="110"/>
  <c r="M44" i="110"/>
  <c r="M50" i="110"/>
  <c r="M48" i="110"/>
  <c r="M49" i="110"/>
  <c r="M51" i="110"/>
  <c r="M52" i="110"/>
  <c r="M53" i="110"/>
  <c r="M54" i="110"/>
  <c r="M57" i="110"/>
  <c r="M31" i="110"/>
  <c r="M58" i="110"/>
  <c r="M59" i="110"/>
  <c r="M32" i="110"/>
  <c r="M60" i="110"/>
  <c r="M21" i="110"/>
  <c r="M33" i="110"/>
  <c r="M66" i="110"/>
  <c r="M64" i="110"/>
  <c r="M62" i="110"/>
  <c r="M63" i="110"/>
  <c r="M20" i="110"/>
  <c r="M65" i="110"/>
  <c r="M67" i="110"/>
  <c r="M69" i="110"/>
  <c r="M68" i="110"/>
  <c r="M71" i="110"/>
  <c r="M70" i="110"/>
  <c r="M73" i="110"/>
  <c r="M72" i="110"/>
  <c r="M10" i="110"/>
  <c r="M10" i="115"/>
  <c r="E44" i="8"/>
  <c r="F44" i="8" s="1"/>
  <c r="E45" i="8"/>
  <c r="F45" i="8" s="1"/>
  <c r="E43" i="8"/>
  <c r="F43" i="8" s="1"/>
  <c r="E42" i="8"/>
  <c r="F42" i="8" s="1"/>
  <c r="E41" i="8"/>
  <c r="F41" i="8" s="1"/>
  <c r="E40" i="8"/>
  <c r="F40" i="8" s="1"/>
  <c r="E39" i="8"/>
  <c r="F39" i="8" s="1"/>
  <c r="E38" i="8"/>
  <c r="E37" i="8"/>
  <c r="F37" i="8" s="1"/>
  <c r="E36" i="8"/>
  <c r="F36" i="8" s="1"/>
  <c r="E46" i="8" l="1"/>
  <c r="F38" i="8"/>
  <c r="F46" i="8" s="1"/>
  <c r="F47" i="8" l="1"/>
  <c r="F114" i="99" l="1"/>
  <c r="G112" i="98"/>
  <c r="F114" i="97"/>
  <c r="F114" i="82"/>
  <c r="F114" i="100"/>
  <c r="F112" i="98"/>
  <c r="F113" i="101"/>
  <c r="C21" i="95"/>
  <c r="E19" i="95"/>
  <c r="D19" i="95"/>
  <c r="C19" i="95"/>
  <c r="M11" i="115"/>
  <c r="M12" i="115"/>
  <c r="M13" i="115"/>
  <c r="M14" i="115"/>
  <c r="M15" i="115"/>
  <c r="M16" i="115"/>
  <c r="M17" i="115"/>
  <c r="M18" i="115"/>
  <c r="M19" i="115"/>
  <c r="M20" i="115"/>
  <c r="P10" i="115"/>
  <c r="M11" i="109"/>
  <c r="M15" i="109"/>
  <c r="M17" i="109"/>
  <c r="M16" i="109"/>
  <c r="M19" i="109"/>
  <c r="M18" i="109"/>
  <c r="M20" i="109"/>
  <c r="M21" i="109"/>
  <c r="M22" i="109"/>
  <c r="M23" i="109"/>
  <c r="M24" i="109"/>
  <c r="M25" i="109"/>
  <c r="M26" i="109"/>
  <c r="M27" i="109"/>
  <c r="M28" i="109"/>
  <c r="M29" i="109"/>
  <c r="M32" i="109"/>
  <c r="M33" i="109"/>
  <c r="M34" i="109"/>
  <c r="M35" i="109"/>
  <c r="M36" i="109"/>
  <c r="M37" i="109"/>
  <c r="M38" i="109"/>
  <c r="M39" i="109"/>
  <c r="M40" i="109"/>
  <c r="M41" i="109"/>
  <c r="M13" i="109"/>
  <c r="M14" i="109"/>
  <c r="M31" i="109"/>
  <c r="M42" i="109"/>
  <c r="M43" i="109"/>
  <c r="M44" i="109"/>
  <c r="M45" i="109"/>
  <c r="M46" i="109"/>
  <c r="M48" i="109"/>
  <c r="M49" i="109"/>
  <c r="M47" i="109"/>
  <c r="M30" i="109"/>
  <c r="M12" i="109"/>
  <c r="M10" i="109"/>
  <c r="C158" i="102"/>
  <c r="C159" i="102"/>
  <c r="C157" i="102"/>
  <c r="O11" i="110"/>
  <c r="G211" i="102"/>
  <c r="H185" i="102"/>
  <c r="H184" i="102"/>
  <c r="H28" i="102"/>
  <c r="H27" i="102"/>
  <c r="I29" i="76"/>
  <c r="I31" i="76"/>
  <c r="I27" i="76"/>
  <c r="I24" i="76"/>
  <c r="I22" i="76"/>
  <c r="I20" i="76"/>
  <c r="I19" i="76"/>
  <c r="G31" i="76"/>
  <c r="G30" i="76"/>
  <c r="G29" i="76"/>
  <c r="G28" i="76"/>
  <c r="G27" i="76"/>
  <c r="G26" i="76"/>
  <c r="G25" i="76"/>
  <c r="G24" i="76"/>
  <c r="G23" i="76"/>
  <c r="G22" i="76"/>
  <c r="G21" i="76"/>
  <c r="G20" i="76"/>
  <c r="G19" i="76"/>
  <c r="G18" i="76"/>
  <c r="G17" i="76"/>
  <c r="F31" i="76"/>
  <c r="F30" i="76"/>
  <c r="F29" i="76"/>
  <c r="F28" i="76"/>
  <c r="F27" i="76"/>
  <c r="F26" i="76"/>
  <c r="F25" i="76"/>
  <c r="F24" i="76"/>
  <c r="F23" i="76"/>
  <c r="F22" i="76"/>
  <c r="F21" i="76"/>
  <c r="F20" i="76"/>
  <c r="F19" i="76"/>
  <c r="F18" i="76"/>
  <c r="F17" i="76"/>
  <c r="D31" i="76"/>
  <c r="D30" i="76"/>
  <c r="D29" i="76"/>
  <c r="D28" i="76"/>
  <c r="D27" i="76"/>
  <c r="D26" i="76"/>
  <c r="D25" i="76"/>
  <c r="D24" i="76"/>
  <c r="D23" i="76"/>
  <c r="D22" i="76"/>
  <c r="D21" i="76"/>
  <c r="D20" i="76"/>
  <c r="D19" i="76"/>
  <c r="D18" i="76"/>
  <c r="D17" i="76"/>
  <c r="C156" i="102" l="1"/>
  <c r="V12" i="109"/>
  <c r="U12" i="109"/>
  <c r="T12" i="109"/>
  <c r="S12" i="109"/>
  <c r="R12" i="109"/>
  <c r="Q12" i="109"/>
  <c r="P12" i="109"/>
  <c r="O12" i="109"/>
  <c r="V30" i="109" l="1"/>
  <c r="U30" i="109"/>
  <c r="T30" i="109"/>
  <c r="S30" i="109"/>
  <c r="R30" i="109"/>
  <c r="Q30" i="109"/>
  <c r="P30" i="109"/>
  <c r="O30" i="109"/>
  <c r="P14" i="115" l="1"/>
  <c r="P15" i="115"/>
  <c r="P16" i="115"/>
  <c r="P17" i="115"/>
  <c r="P18" i="115"/>
  <c r="P19" i="115"/>
  <c r="P20" i="115"/>
  <c r="Q18" i="115"/>
  <c r="N15" i="116" l="1"/>
  <c r="O15" i="116"/>
  <c r="P15" i="116"/>
  <c r="Q15" i="116"/>
  <c r="R15" i="116"/>
  <c r="S15" i="116"/>
  <c r="T15" i="116"/>
  <c r="U15" i="116"/>
  <c r="N16" i="116"/>
  <c r="O16" i="116"/>
  <c r="P16" i="116"/>
  <c r="Q16" i="116"/>
  <c r="R16" i="116"/>
  <c r="S16" i="116"/>
  <c r="T16" i="116"/>
  <c r="U16" i="116"/>
  <c r="N14" i="116"/>
  <c r="V12" i="116"/>
  <c r="V11" i="116"/>
  <c r="V10" i="116"/>
  <c r="P13" i="116"/>
  <c r="V47" i="109"/>
  <c r="U47" i="109"/>
  <c r="T47" i="109"/>
  <c r="S47" i="109"/>
  <c r="R47" i="109"/>
  <c r="Q47" i="109"/>
  <c r="P47" i="109"/>
  <c r="O47" i="109"/>
  <c r="O49" i="109"/>
  <c r="V16" i="116" l="1"/>
  <c r="V15" i="116"/>
  <c r="P11" i="115"/>
  <c r="Q11" i="115"/>
  <c r="R11" i="115"/>
  <c r="S11" i="115"/>
  <c r="T11" i="115"/>
  <c r="U11" i="115"/>
  <c r="V11" i="115"/>
  <c r="W11" i="115"/>
  <c r="P12" i="115"/>
  <c r="Q12" i="115"/>
  <c r="R12" i="115"/>
  <c r="S12" i="115"/>
  <c r="T12" i="115"/>
  <c r="U12" i="115"/>
  <c r="V12" i="115"/>
  <c r="W12" i="115"/>
  <c r="P13" i="115"/>
  <c r="Q13" i="115"/>
  <c r="R13" i="115"/>
  <c r="S13" i="115"/>
  <c r="T13" i="115"/>
  <c r="U13" i="115"/>
  <c r="V13" i="115"/>
  <c r="W13" i="115"/>
  <c r="Q14" i="115"/>
  <c r="R14" i="115"/>
  <c r="S14" i="115"/>
  <c r="T14" i="115"/>
  <c r="U14" i="115"/>
  <c r="V14" i="115"/>
  <c r="W14" i="115"/>
  <c r="Q15" i="115"/>
  <c r="R15" i="115"/>
  <c r="S15" i="115"/>
  <c r="T15" i="115"/>
  <c r="U15" i="115"/>
  <c r="V15" i="115"/>
  <c r="W15" i="115"/>
  <c r="Q16" i="115"/>
  <c r="R16" i="115"/>
  <c r="S16" i="115"/>
  <c r="T16" i="115"/>
  <c r="U16" i="115"/>
  <c r="V16" i="115"/>
  <c r="W16" i="115"/>
  <c r="Q17" i="115"/>
  <c r="R17" i="115"/>
  <c r="S17" i="115"/>
  <c r="T17" i="115"/>
  <c r="U17" i="115"/>
  <c r="V17" i="115"/>
  <c r="W17" i="115"/>
  <c r="R18" i="115"/>
  <c r="S18" i="115"/>
  <c r="T18" i="115"/>
  <c r="U18" i="115"/>
  <c r="V18" i="115"/>
  <c r="W18" i="115"/>
  <c r="Q19" i="115"/>
  <c r="R19" i="115"/>
  <c r="S19" i="115"/>
  <c r="T19" i="115"/>
  <c r="U19" i="115"/>
  <c r="V19" i="115"/>
  <c r="W19" i="115"/>
  <c r="Q20" i="115"/>
  <c r="R20" i="115"/>
  <c r="S20" i="115"/>
  <c r="T20" i="115"/>
  <c r="U20" i="115"/>
  <c r="V20" i="115"/>
  <c r="W20" i="115"/>
  <c r="C191" i="118"/>
  <c r="C192" i="118"/>
  <c r="C193" i="118"/>
  <c r="C194" i="118"/>
  <c r="C195" i="118"/>
  <c r="C196" i="118"/>
  <c r="C197" i="118"/>
  <c r="C198" i="118"/>
  <c r="C200" i="118"/>
  <c r="C201" i="118"/>
  <c r="C202" i="118"/>
  <c r="C203" i="118"/>
  <c r="C204" i="118"/>
  <c r="C205" i="118"/>
  <c r="C207" i="118"/>
  <c r="C208" i="118"/>
  <c r="C209" i="118"/>
  <c r="C211" i="118"/>
  <c r="A188" i="118"/>
  <c r="B165" i="118"/>
  <c r="C165" i="118"/>
  <c r="B166" i="118"/>
  <c r="C166" i="118"/>
  <c r="B167" i="118"/>
  <c r="C167" i="118"/>
  <c r="B168" i="118"/>
  <c r="C168" i="118"/>
  <c r="B169" i="118"/>
  <c r="C169" i="118"/>
  <c r="B170" i="118"/>
  <c r="C170" i="118"/>
  <c r="B171" i="118"/>
  <c r="C171" i="118"/>
  <c r="B172" i="118"/>
  <c r="C172" i="118"/>
  <c r="B174" i="118"/>
  <c r="C174" i="118"/>
  <c r="B175" i="118"/>
  <c r="C175" i="118"/>
  <c r="B176" i="118"/>
  <c r="C176" i="118"/>
  <c r="B177" i="118"/>
  <c r="C177" i="118"/>
  <c r="B178" i="118"/>
  <c r="C178" i="118"/>
  <c r="B179" i="118"/>
  <c r="C179" i="118"/>
  <c r="B181" i="118"/>
  <c r="C181" i="118"/>
  <c r="B182" i="118"/>
  <c r="C182" i="118"/>
  <c r="B183" i="118"/>
  <c r="C183" i="118"/>
  <c r="B185" i="118"/>
  <c r="C185" i="118"/>
  <c r="A162" i="118"/>
  <c r="C139" i="118"/>
  <c r="C140" i="118"/>
  <c r="C141" i="118"/>
  <c r="C142" i="118"/>
  <c r="C143" i="118"/>
  <c r="C144" i="118"/>
  <c r="C145" i="118"/>
  <c r="C146" i="118"/>
  <c r="C148" i="118"/>
  <c r="C149" i="118"/>
  <c r="C150" i="118"/>
  <c r="C151" i="118"/>
  <c r="C152" i="118"/>
  <c r="C153" i="118"/>
  <c r="C155" i="118"/>
  <c r="C156" i="118"/>
  <c r="D156" i="118"/>
  <c r="C157" i="118"/>
  <c r="D157" i="118"/>
  <c r="C159" i="118"/>
  <c r="A136" i="118"/>
  <c r="C113" i="118"/>
  <c r="C114" i="118"/>
  <c r="C115" i="118"/>
  <c r="C116" i="118"/>
  <c r="C117" i="118"/>
  <c r="C118" i="118"/>
  <c r="C119" i="118"/>
  <c r="C120" i="118"/>
  <c r="C122" i="118"/>
  <c r="C123" i="118"/>
  <c r="C124" i="118"/>
  <c r="C125" i="118"/>
  <c r="C126" i="118"/>
  <c r="C127" i="118"/>
  <c r="C129" i="118"/>
  <c r="C130" i="118"/>
  <c r="C131" i="118"/>
  <c r="C133" i="118"/>
  <c r="A110" i="118"/>
  <c r="C87" i="118"/>
  <c r="C88" i="118"/>
  <c r="C89" i="118"/>
  <c r="C90" i="118"/>
  <c r="C91" i="118"/>
  <c r="C92" i="118"/>
  <c r="C93" i="118"/>
  <c r="C94" i="118"/>
  <c r="C96" i="118"/>
  <c r="C97" i="118"/>
  <c r="C98" i="118"/>
  <c r="C99" i="118"/>
  <c r="C100" i="118"/>
  <c r="C101" i="118"/>
  <c r="C103" i="118"/>
  <c r="C104" i="118"/>
  <c r="C105" i="118"/>
  <c r="C107" i="118"/>
  <c r="A84" i="118"/>
  <c r="A58" i="118"/>
  <c r="A32" i="118"/>
  <c r="A6" i="118"/>
  <c r="C61" i="118"/>
  <c r="C62" i="118"/>
  <c r="C63" i="118"/>
  <c r="C64" i="118"/>
  <c r="C65" i="118"/>
  <c r="C66" i="118"/>
  <c r="C67" i="118"/>
  <c r="C68" i="118"/>
  <c r="C70" i="118"/>
  <c r="C71" i="118"/>
  <c r="C72" i="118"/>
  <c r="C73" i="118"/>
  <c r="C74" i="118"/>
  <c r="C75" i="118"/>
  <c r="C77" i="118"/>
  <c r="C78" i="118"/>
  <c r="C79" i="118"/>
  <c r="C81" i="118"/>
  <c r="C35" i="118"/>
  <c r="C36" i="118"/>
  <c r="C37" i="118"/>
  <c r="C38" i="118"/>
  <c r="C39" i="118"/>
  <c r="C40" i="118"/>
  <c r="C41" i="118"/>
  <c r="C42" i="118"/>
  <c r="C44" i="118"/>
  <c r="C45" i="118"/>
  <c r="C46" i="118"/>
  <c r="C47" i="118"/>
  <c r="C48" i="118"/>
  <c r="C49" i="118"/>
  <c r="C51" i="118"/>
  <c r="C52" i="118"/>
  <c r="C53" i="118"/>
  <c r="C55" i="118"/>
  <c r="B9" i="118"/>
  <c r="C9" i="118"/>
  <c r="B10" i="118"/>
  <c r="C10" i="118"/>
  <c r="B11" i="118"/>
  <c r="C11" i="118"/>
  <c r="B12" i="118"/>
  <c r="C12" i="118"/>
  <c r="B13" i="118"/>
  <c r="C13" i="118"/>
  <c r="B14" i="118"/>
  <c r="C14" i="118"/>
  <c r="B15" i="118"/>
  <c r="C15" i="118"/>
  <c r="B16" i="118"/>
  <c r="C16" i="118"/>
  <c r="B18" i="118"/>
  <c r="C18" i="118"/>
  <c r="B19" i="118"/>
  <c r="C19" i="118"/>
  <c r="B20" i="118"/>
  <c r="C20" i="118"/>
  <c r="B21" i="118"/>
  <c r="C21" i="118"/>
  <c r="B22" i="118"/>
  <c r="C22" i="118"/>
  <c r="B23" i="118"/>
  <c r="C23" i="118"/>
  <c r="C25" i="118"/>
  <c r="B26" i="118"/>
  <c r="C26" i="118"/>
  <c r="B27" i="118"/>
  <c r="C27" i="118"/>
  <c r="C29" i="118"/>
  <c r="C213" i="102"/>
  <c r="C212" i="102" s="1"/>
  <c r="D210" i="118" s="1"/>
  <c r="B212" i="102"/>
  <c r="C210" i="118" s="1"/>
  <c r="C211" i="102"/>
  <c r="D209" i="118" s="1"/>
  <c r="C210" i="102"/>
  <c r="D208" i="118" s="1"/>
  <c r="C209" i="102"/>
  <c r="D207" i="118" s="1"/>
  <c r="B208" i="102"/>
  <c r="C206" i="118" s="1"/>
  <c r="C207" i="102"/>
  <c r="D205" i="118" s="1"/>
  <c r="C206" i="102"/>
  <c r="D204" i="118" s="1"/>
  <c r="C205" i="102"/>
  <c r="D203" i="118" s="1"/>
  <c r="C204" i="102"/>
  <c r="D202" i="118" s="1"/>
  <c r="C203" i="102"/>
  <c r="D201" i="118" s="1"/>
  <c r="C202" i="102"/>
  <c r="D200" i="118" s="1"/>
  <c r="B201" i="102"/>
  <c r="C199" i="118" s="1"/>
  <c r="C200" i="102"/>
  <c r="D198" i="118" s="1"/>
  <c r="C199" i="102"/>
  <c r="D197" i="118" s="1"/>
  <c r="C198" i="102"/>
  <c r="D196" i="118" s="1"/>
  <c r="C197" i="102"/>
  <c r="D195" i="118" s="1"/>
  <c r="C196" i="102"/>
  <c r="D194" i="118" s="1"/>
  <c r="C195" i="102"/>
  <c r="D193" i="118" s="1"/>
  <c r="C194" i="102"/>
  <c r="D192" i="118" s="1"/>
  <c r="C193" i="102"/>
  <c r="B192" i="102"/>
  <c r="E194" i="102"/>
  <c r="E196" i="102"/>
  <c r="E200" i="102"/>
  <c r="E203" i="102"/>
  <c r="E211" i="102"/>
  <c r="C188" i="102"/>
  <c r="C186" i="118" s="1"/>
  <c r="B188" i="102"/>
  <c r="B186" i="118" s="1"/>
  <c r="D187" i="102"/>
  <c r="D186" i="102" s="1"/>
  <c r="D184" i="118" s="1"/>
  <c r="C186" i="102"/>
  <c r="C184" i="118" s="1"/>
  <c r="B186" i="102"/>
  <c r="B184" i="118" s="1"/>
  <c r="D185" i="102"/>
  <c r="D183" i="118" s="1"/>
  <c r="D184" i="102"/>
  <c r="D182" i="118" s="1"/>
  <c r="D183" i="102"/>
  <c r="C182" i="102"/>
  <c r="C180" i="118" s="1"/>
  <c r="B182" i="102"/>
  <c r="B180" i="118" s="1"/>
  <c r="D181" i="102"/>
  <c r="D179" i="118" s="1"/>
  <c r="D180" i="102"/>
  <c r="D178" i="118" s="1"/>
  <c r="D179" i="102"/>
  <c r="D177" i="118" s="1"/>
  <c r="D178" i="102"/>
  <c r="D176" i="118" s="1"/>
  <c r="D177" i="102"/>
  <c r="D175" i="118" s="1"/>
  <c r="D176" i="102"/>
  <c r="C175" i="102"/>
  <c r="C173" i="118" s="1"/>
  <c r="B175" i="102"/>
  <c r="B173" i="118" s="1"/>
  <c r="D174" i="102"/>
  <c r="D172" i="118" s="1"/>
  <c r="D173" i="102"/>
  <c r="D171" i="118" s="1"/>
  <c r="D172" i="102"/>
  <c r="D170" i="118" s="1"/>
  <c r="D171" i="102"/>
  <c r="D169" i="118" s="1"/>
  <c r="D170" i="102"/>
  <c r="D168" i="118" s="1"/>
  <c r="D169" i="102"/>
  <c r="D167" i="118" s="1"/>
  <c r="D168" i="102"/>
  <c r="D166" i="118" s="1"/>
  <c r="D167" i="102"/>
  <c r="D165" i="118" s="1"/>
  <c r="C166" i="102"/>
  <c r="C164" i="118" s="1"/>
  <c r="B166" i="102"/>
  <c r="B164" i="118" s="1"/>
  <c r="B162" i="102"/>
  <c r="C160" i="118" s="1"/>
  <c r="C160" i="102"/>
  <c r="D158" i="118" s="1"/>
  <c r="B160" i="102"/>
  <c r="C158" i="118" s="1"/>
  <c r="D154" i="118"/>
  <c r="B156" i="102"/>
  <c r="C154" i="118" s="1"/>
  <c r="C155" i="102"/>
  <c r="D153" i="118" s="1"/>
  <c r="C154" i="102"/>
  <c r="C153" i="102"/>
  <c r="D151" i="118" s="1"/>
  <c r="C152" i="102"/>
  <c r="D150" i="118" s="1"/>
  <c r="C151" i="102"/>
  <c r="D149" i="118" s="1"/>
  <c r="C150" i="102"/>
  <c r="B149" i="102"/>
  <c r="C147" i="118" s="1"/>
  <c r="C148" i="102"/>
  <c r="D146" i="118" s="1"/>
  <c r="C147" i="102"/>
  <c r="D145" i="118" s="1"/>
  <c r="C146" i="102"/>
  <c r="D144" i="118" s="1"/>
  <c r="C145" i="102"/>
  <c r="D143" i="118" s="1"/>
  <c r="C144" i="102"/>
  <c r="D142" i="118" s="1"/>
  <c r="C143" i="102"/>
  <c r="D141" i="118" s="1"/>
  <c r="C142" i="102"/>
  <c r="D140" i="118" s="1"/>
  <c r="C141" i="102"/>
  <c r="D139" i="118" s="1"/>
  <c r="B140" i="102"/>
  <c r="C138" i="118" s="1"/>
  <c r="B135" i="102"/>
  <c r="C134" i="118" s="1"/>
  <c r="C134" i="102"/>
  <c r="C133" i="102" s="1"/>
  <c r="D132" i="118" s="1"/>
  <c r="B133" i="102"/>
  <c r="C132" i="118" s="1"/>
  <c r="C132" i="102"/>
  <c r="D131" i="118" s="1"/>
  <c r="C131" i="102"/>
  <c r="D130" i="118" s="1"/>
  <c r="C130" i="102"/>
  <c r="D129" i="118" s="1"/>
  <c r="B129" i="102"/>
  <c r="C128" i="118" s="1"/>
  <c r="C128" i="102"/>
  <c r="D127" i="118" s="1"/>
  <c r="C127" i="102"/>
  <c r="D126" i="118" s="1"/>
  <c r="C126" i="102"/>
  <c r="D125" i="118" s="1"/>
  <c r="C125" i="102"/>
  <c r="D124" i="118" s="1"/>
  <c r="C124" i="102"/>
  <c r="D123" i="118" s="1"/>
  <c r="C123" i="102"/>
  <c r="D122" i="118" s="1"/>
  <c r="B122" i="102"/>
  <c r="C121" i="118" s="1"/>
  <c r="C121" i="102"/>
  <c r="D120" i="118" s="1"/>
  <c r="C120" i="102"/>
  <c r="D119" i="118" s="1"/>
  <c r="C119" i="102"/>
  <c r="D118" i="118" s="1"/>
  <c r="C118" i="102"/>
  <c r="D117" i="118" s="1"/>
  <c r="C117" i="102"/>
  <c r="D116" i="118" s="1"/>
  <c r="C116" i="102"/>
  <c r="D115" i="118" s="1"/>
  <c r="C115" i="102"/>
  <c r="D114" i="118" s="1"/>
  <c r="C114" i="102"/>
  <c r="D113" i="118" s="1"/>
  <c r="B113" i="102"/>
  <c r="C112" i="118" s="1"/>
  <c r="B109" i="102"/>
  <c r="C108" i="118" s="1"/>
  <c r="C108" i="102"/>
  <c r="C107" i="102" s="1"/>
  <c r="D106" i="118" s="1"/>
  <c r="B107" i="102"/>
  <c r="C106" i="118" s="1"/>
  <c r="C106" i="102"/>
  <c r="D105" i="118" s="1"/>
  <c r="C105" i="102"/>
  <c r="C104" i="102"/>
  <c r="D103" i="118" s="1"/>
  <c r="B103" i="102"/>
  <c r="C102" i="118" s="1"/>
  <c r="C102" i="102"/>
  <c r="C101" i="102"/>
  <c r="D100" i="118" s="1"/>
  <c r="C100" i="102"/>
  <c r="D99" i="118" s="1"/>
  <c r="C99" i="102"/>
  <c r="D98" i="118" s="1"/>
  <c r="C98" i="102"/>
  <c r="D97" i="118" s="1"/>
  <c r="C97" i="102"/>
  <c r="D96" i="118" s="1"/>
  <c r="B96" i="102"/>
  <c r="C95" i="118" s="1"/>
  <c r="C95" i="102"/>
  <c r="D94" i="118" s="1"/>
  <c r="C94" i="102"/>
  <c r="D93" i="118" s="1"/>
  <c r="C93" i="102"/>
  <c r="D92" i="118" s="1"/>
  <c r="C92" i="102"/>
  <c r="D91" i="118" s="1"/>
  <c r="C91" i="102"/>
  <c r="D90" i="118" s="1"/>
  <c r="C90" i="102"/>
  <c r="D89" i="118" s="1"/>
  <c r="C89" i="102"/>
  <c r="D88" i="118" s="1"/>
  <c r="C88" i="102"/>
  <c r="D87" i="118" s="1"/>
  <c r="B87" i="102"/>
  <c r="C86" i="118" s="1"/>
  <c r="B83" i="102"/>
  <c r="C82" i="118" s="1"/>
  <c r="C82" i="102"/>
  <c r="C81" i="102" s="1"/>
  <c r="D80" i="118" s="1"/>
  <c r="B81" i="102"/>
  <c r="C80" i="118" s="1"/>
  <c r="C80" i="102"/>
  <c r="D79" i="118" s="1"/>
  <c r="C79" i="102"/>
  <c r="D78" i="118" s="1"/>
  <c r="C78" i="102"/>
  <c r="D77" i="118" s="1"/>
  <c r="B77" i="102"/>
  <c r="C76" i="118" s="1"/>
  <c r="C76" i="102"/>
  <c r="D75" i="118" s="1"/>
  <c r="C75" i="102"/>
  <c r="D74" i="118" s="1"/>
  <c r="C74" i="102"/>
  <c r="D73" i="118" s="1"/>
  <c r="C73" i="102"/>
  <c r="D72" i="118" s="1"/>
  <c r="C72" i="102"/>
  <c r="D71" i="118" s="1"/>
  <c r="C71" i="102"/>
  <c r="D70" i="118" s="1"/>
  <c r="B70" i="102"/>
  <c r="C69" i="118" s="1"/>
  <c r="C69" i="102"/>
  <c r="D68" i="118" s="1"/>
  <c r="C68" i="102"/>
  <c r="D67" i="118" s="1"/>
  <c r="C67" i="102"/>
  <c r="D66" i="118" s="1"/>
  <c r="C66" i="102"/>
  <c r="D65" i="118" s="1"/>
  <c r="C65" i="102"/>
  <c r="D64" i="118" s="1"/>
  <c r="C64" i="102"/>
  <c r="D63" i="118" s="1"/>
  <c r="C63" i="102"/>
  <c r="D62" i="118" s="1"/>
  <c r="C62" i="102"/>
  <c r="B61" i="102"/>
  <c r="C60" i="118" s="1"/>
  <c r="B57" i="102"/>
  <c r="C56" i="118" s="1"/>
  <c r="C56" i="102"/>
  <c r="C55" i="102" s="1"/>
  <c r="D54" i="118" s="1"/>
  <c r="B55" i="102"/>
  <c r="C54" i="118" s="1"/>
  <c r="C54" i="102"/>
  <c r="D53" i="118" s="1"/>
  <c r="C53" i="102"/>
  <c r="D52" i="118" s="1"/>
  <c r="C52" i="102"/>
  <c r="B51" i="102"/>
  <c r="C50" i="118" s="1"/>
  <c r="C50" i="102"/>
  <c r="D49" i="118" s="1"/>
  <c r="C49" i="102"/>
  <c r="D48" i="118" s="1"/>
  <c r="C48" i="102"/>
  <c r="D47" i="118" s="1"/>
  <c r="C47" i="102"/>
  <c r="D46" i="118" s="1"/>
  <c r="C46" i="102"/>
  <c r="D45" i="118" s="1"/>
  <c r="C45" i="102"/>
  <c r="D44" i="118" s="1"/>
  <c r="B44" i="102"/>
  <c r="C43" i="118" s="1"/>
  <c r="C43" i="102"/>
  <c r="D42" i="118" s="1"/>
  <c r="C42" i="102"/>
  <c r="D41" i="118" s="1"/>
  <c r="C41" i="102"/>
  <c r="D40" i="118" s="1"/>
  <c r="C40" i="102"/>
  <c r="D39" i="118" s="1"/>
  <c r="C39" i="102"/>
  <c r="D38" i="118" s="1"/>
  <c r="C38" i="102"/>
  <c r="D37" i="118" s="1"/>
  <c r="C37" i="102"/>
  <c r="D36" i="118" s="1"/>
  <c r="C36" i="102"/>
  <c r="D35" i="118" s="1"/>
  <c r="B35" i="102"/>
  <c r="C34" i="118" s="1"/>
  <c r="C31" i="102"/>
  <c r="C30" i="118" s="1"/>
  <c r="B31" i="102"/>
  <c r="B30" i="118" s="1"/>
  <c r="C29" i="102"/>
  <c r="C28" i="118" s="1"/>
  <c r="C25" i="102"/>
  <c r="C24" i="118" s="1"/>
  <c r="B25" i="102"/>
  <c r="B24" i="118" s="1"/>
  <c r="C18" i="102"/>
  <c r="C17" i="118" s="1"/>
  <c r="B18" i="102"/>
  <c r="B17" i="118" s="1"/>
  <c r="C9" i="102"/>
  <c r="C8" i="118" s="1"/>
  <c r="B9" i="102"/>
  <c r="B8" i="118" s="1"/>
  <c r="B214" i="102" l="1"/>
  <c r="C212" i="118" s="1"/>
  <c r="C103" i="102"/>
  <c r="D102" i="118" s="1"/>
  <c r="C70" i="102"/>
  <c r="D69" i="118" s="1"/>
  <c r="D148" i="118"/>
  <c r="C149" i="102"/>
  <c r="D147" i="118" s="1"/>
  <c r="C61" i="102"/>
  <c r="D60" i="118" s="1"/>
  <c r="D152" i="118"/>
  <c r="E154" i="102"/>
  <c r="H154" i="102" s="1"/>
  <c r="D104" i="118"/>
  <c r="D133" i="118"/>
  <c r="C51" i="102"/>
  <c r="D50" i="118" s="1"/>
  <c r="C129" i="102"/>
  <c r="D128" i="118" s="1"/>
  <c r="D81" i="118"/>
  <c r="C122" i="102"/>
  <c r="D121" i="118" s="1"/>
  <c r="P21" i="115"/>
  <c r="D155" i="118"/>
  <c r="D182" i="102"/>
  <c r="D180" i="118" s="1"/>
  <c r="F183" i="102"/>
  <c r="D159" i="118"/>
  <c r="D61" i="118"/>
  <c r="C44" i="102"/>
  <c r="D43" i="118" s="1"/>
  <c r="C201" i="102"/>
  <c r="D199" i="118" s="1"/>
  <c r="C208" i="102"/>
  <c r="D206" i="118" s="1"/>
  <c r="D185" i="118"/>
  <c r="C190" i="118"/>
  <c r="C77" i="102"/>
  <c r="D76" i="118" s="1"/>
  <c r="D166" i="102"/>
  <c r="D175" i="102"/>
  <c r="D173" i="118" s="1"/>
  <c r="D55" i="118"/>
  <c r="D51" i="118"/>
  <c r="D107" i="118"/>
  <c r="D174" i="118"/>
  <c r="C192" i="102"/>
  <c r="C35" i="102"/>
  <c r="C140" i="102"/>
  <c r="C96" i="102"/>
  <c r="D95" i="118" s="1"/>
  <c r="D181" i="118"/>
  <c r="D211" i="118"/>
  <c r="D191" i="118"/>
  <c r="C87" i="102"/>
  <c r="D86" i="118" s="1"/>
  <c r="C113" i="102"/>
  <c r="D112" i="118" s="1"/>
  <c r="D101" i="118"/>
  <c r="P22" i="115" l="1"/>
  <c r="C109" i="102"/>
  <c r="D108" i="118" s="1"/>
  <c r="C135" i="102"/>
  <c r="D134" i="118" s="1"/>
  <c r="C162" i="102"/>
  <c r="D160" i="118" s="1"/>
  <c r="D138" i="118"/>
  <c r="C57" i="102"/>
  <c r="D56" i="118" s="1"/>
  <c r="D34" i="118"/>
  <c r="C83" i="102"/>
  <c r="D82" i="118" s="1"/>
  <c r="C214" i="102"/>
  <c r="D212" i="118" s="1"/>
  <c r="D190" i="118"/>
  <c r="D188" i="102"/>
  <c r="D186" i="118" s="1"/>
  <c r="D164" i="118"/>
  <c r="V11" i="109"/>
  <c r="V17" i="109"/>
  <c r="V16" i="109"/>
  <c r="V19" i="109"/>
  <c r="V18" i="109"/>
  <c r="V20" i="109"/>
  <c r="V21" i="109"/>
  <c r="V22" i="109"/>
  <c r="V23" i="109"/>
  <c r="V24" i="109"/>
  <c r="V25" i="109"/>
  <c r="V26" i="109"/>
  <c r="V27" i="109"/>
  <c r="V28" i="109"/>
  <c r="V29" i="109"/>
  <c r="V32" i="109"/>
  <c r="V33" i="109"/>
  <c r="V34" i="109"/>
  <c r="V35" i="109"/>
  <c r="V36" i="109"/>
  <c r="V37" i="109"/>
  <c r="V38" i="109"/>
  <c r="V39" i="109"/>
  <c r="V40" i="109"/>
  <c r="V41" i="109"/>
  <c r="V13" i="109"/>
  <c r="V14" i="109"/>
  <c r="V31" i="109"/>
  <c r="V42" i="109"/>
  <c r="V43" i="109"/>
  <c r="V44" i="109"/>
  <c r="V45" i="109"/>
  <c r="V46" i="109"/>
  <c r="V48" i="109"/>
  <c r="V49" i="109"/>
  <c r="V10" i="109"/>
  <c r="V72" i="110"/>
  <c r="U11" i="109"/>
  <c r="U17" i="109"/>
  <c r="U16" i="109"/>
  <c r="U19" i="109"/>
  <c r="U18" i="109"/>
  <c r="U20" i="109"/>
  <c r="U21" i="109"/>
  <c r="U22" i="109"/>
  <c r="U23" i="109"/>
  <c r="U24" i="109"/>
  <c r="U25" i="109"/>
  <c r="U26" i="109"/>
  <c r="U27" i="109"/>
  <c r="U28" i="109"/>
  <c r="U29" i="109"/>
  <c r="U32" i="109"/>
  <c r="U33" i="109"/>
  <c r="U34" i="109"/>
  <c r="U35" i="109"/>
  <c r="U36" i="109"/>
  <c r="U37" i="109"/>
  <c r="U38" i="109"/>
  <c r="U39" i="109"/>
  <c r="U40" i="109"/>
  <c r="U41" i="109"/>
  <c r="U13" i="109"/>
  <c r="U14" i="109"/>
  <c r="U31" i="109"/>
  <c r="U42" i="109"/>
  <c r="U43" i="109"/>
  <c r="U44" i="109"/>
  <c r="U45" i="109"/>
  <c r="U46" i="109"/>
  <c r="U48" i="109"/>
  <c r="U49" i="109"/>
  <c r="U10" i="109"/>
  <c r="T11" i="109"/>
  <c r="T17" i="109"/>
  <c r="T16" i="109"/>
  <c r="T19" i="109"/>
  <c r="T18" i="109"/>
  <c r="T20" i="109"/>
  <c r="T21" i="109"/>
  <c r="T22" i="109"/>
  <c r="T23" i="109"/>
  <c r="T24" i="109"/>
  <c r="T25" i="109"/>
  <c r="T26" i="109"/>
  <c r="T27" i="109"/>
  <c r="T28" i="109"/>
  <c r="T29" i="109"/>
  <c r="T32" i="109"/>
  <c r="T33" i="109"/>
  <c r="T34" i="109"/>
  <c r="T35" i="109"/>
  <c r="T36" i="109"/>
  <c r="T37" i="109"/>
  <c r="T38" i="109"/>
  <c r="T39" i="109"/>
  <c r="T40" i="109"/>
  <c r="T41" i="109"/>
  <c r="T13" i="109"/>
  <c r="T14" i="109"/>
  <c r="T31" i="109"/>
  <c r="T42" i="109"/>
  <c r="T43" i="109"/>
  <c r="T44" i="109"/>
  <c r="T45" i="109"/>
  <c r="T46" i="109"/>
  <c r="T48" i="109"/>
  <c r="T49" i="109"/>
  <c r="T10" i="109"/>
  <c r="S10" i="109"/>
  <c r="S11" i="109"/>
  <c r="S17" i="109"/>
  <c r="S16" i="109"/>
  <c r="S19" i="109"/>
  <c r="S18" i="109"/>
  <c r="S20" i="109"/>
  <c r="S21" i="109"/>
  <c r="S22" i="109"/>
  <c r="S23" i="109"/>
  <c r="S24" i="109"/>
  <c r="S25" i="109"/>
  <c r="S26" i="109"/>
  <c r="S27" i="109"/>
  <c r="S28" i="109"/>
  <c r="S29" i="109"/>
  <c r="S32" i="109"/>
  <c r="S33" i="109"/>
  <c r="S34" i="109"/>
  <c r="S35" i="109"/>
  <c r="S36" i="109"/>
  <c r="S37" i="109"/>
  <c r="S38" i="109"/>
  <c r="S39" i="109"/>
  <c r="S40" i="109"/>
  <c r="S41" i="109"/>
  <c r="S13" i="109"/>
  <c r="S14" i="109"/>
  <c r="S31" i="109"/>
  <c r="S42" i="109"/>
  <c r="S43" i="109"/>
  <c r="S44" i="109"/>
  <c r="S45" i="109"/>
  <c r="S46" i="109"/>
  <c r="S48" i="109"/>
  <c r="S49" i="109"/>
  <c r="R11" i="109"/>
  <c r="R17" i="109"/>
  <c r="R16" i="109"/>
  <c r="R19" i="109"/>
  <c r="R18" i="109"/>
  <c r="R20" i="109"/>
  <c r="R21" i="109"/>
  <c r="R22" i="109"/>
  <c r="R23" i="109"/>
  <c r="R24" i="109"/>
  <c r="R25" i="109"/>
  <c r="R26" i="109"/>
  <c r="R27" i="109"/>
  <c r="R28" i="109"/>
  <c r="R29" i="109"/>
  <c r="R32" i="109"/>
  <c r="R33" i="109"/>
  <c r="R34" i="109"/>
  <c r="R35" i="109"/>
  <c r="R36" i="109"/>
  <c r="R37" i="109"/>
  <c r="R38" i="109"/>
  <c r="R39" i="109"/>
  <c r="R40" i="109"/>
  <c r="R41" i="109"/>
  <c r="R13" i="109"/>
  <c r="R14" i="109"/>
  <c r="R31" i="109"/>
  <c r="R42" i="109"/>
  <c r="R43" i="109"/>
  <c r="R44" i="109"/>
  <c r="R45" i="109"/>
  <c r="R46" i="109"/>
  <c r="R48" i="109"/>
  <c r="R49" i="109"/>
  <c r="R10" i="109"/>
  <c r="Q11" i="109"/>
  <c r="Q17" i="109"/>
  <c r="Q16" i="109"/>
  <c r="Q19" i="109"/>
  <c r="Q18" i="109"/>
  <c r="Q20" i="109"/>
  <c r="Q21" i="109"/>
  <c r="Q22" i="109"/>
  <c r="Q23" i="109"/>
  <c r="Q24" i="109"/>
  <c r="Q25" i="109"/>
  <c r="Q26" i="109"/>
  <c r="Q27" i="109"/>
  <c r="Q28" i="109"/>
  <c r="Q29" i="109"/>
  <c r="Q32" i="109"/>
  <c r="Q33" i="109"/>
  <c r="Q34" i="109"/>
  <c r="Q35" i="109"/>
  <c r="Q36" i="109"/>
  <c r="Q37" i="109"/>
  <c r="Q38" i="109"/>
  <c r="Q39" i="109"/>
  <c r="Q40" i="109"/>
  <c r="Q41" i="109"/>
  <c r="Q13" i="109"/>
  <c r="Q14" i="109"/>
  <c r="Q31" i="109"/>
  <c r="Q42" i="109"/>
  <c r="Q43" i="109"/>
  <c r="Q44" i="109"/>
  <c r="Q45" i="109"/>
  <c r="Q46" i="109"/>
  <c r="Q48" i="109"/>
  <c r="Q49" i="109"/>
  <c r="Q10" i="109"/>
  <c r="P49" i="109"/>
  <c r="P11" i="109"/>
  <c r="P17" i="109"/>
  <c r="P16" i="109"/>
  <c r="P19" i="109"/>
  <c r="P18" i="109"/>
  <c r="P20" i="109"/>
  <c r="P21" i="109"/>
  <c r="P22" i="109"/>
  <c r="P23" i="109"/>
  <c r="P24" i="109"/>
  <c r="P25" i="109"/>
  <c r="P26" i="109"/>
  <c r="P27" i="109"/>
  <c r="P28" i="109"/>
  <c r="P29" i="109"/>
  <c r="P32" i="109"/>
  <c r="P33" i="109"/>
  <c r="P34" i="109"/>
  <c r="P35" i="109"/>
  <c r="P36" i="109"/>
  <c r="P37" i="109"/>
  <c r="P38" i="109"/>
  <c r="P39" i="109"/>
  <c r="P40" i="109"/>
  <c r="P41" i="109"/>
  <c r="P13" i="109"/>
  <c r="P14" i="109"/>
  <c r="P31" i="109"/>
  <c r="P42" i="109"/>
  <c r="P43" i="109"/>
  <c r="P44" i="109"/>
  <c r="P45" i="109"/>
  <c r="P46" i="109"/>
  <c r="P48" i="109"/>
  <c r="P10" i="109"/>
  <c r="O11" i="109"/>
  <c r="O17" i="109"/>
  <c r="O16" i="109"/>
  <c r="O19" i="109"/>
  <c r="O18" i="109"/>
  <c r="O20" i="109"/>
  <c r="O21" i="109"/>
  <c r="O22" i="109"/>
  <c r="O23" i="109"/>
  <c r="O24" i="109"/>
  <c r="O25" i="109"/>
  <c r="O26" i="109"/>
  <c r="O27" i="109"/>
  <c r="O28" i="109"/>
  <c r="O29" i="109"/>
  <c r="O32" i="109"/>
  <c r="O33" i="109"/>
  <c r="O34" i="109"/>
  <c r="O35" i="109"/>
  <c r="O36" i="109"/>
  <c r="O37" i="109"/>
  <c r="O38" i="109"/>
  <c r="O39" i="109"/>
  <c r="O40" i="109"/>
  <c r="O41" i="109"/>
  <c r="O13" i="109"/>
  <c r="O14" i="109"/>
  <c r="O31" i="109"/>
  <c r="O42" i="109"/>
  <c r="O43" i="109"/>
  <c r="O44" i="109"/>
  <c r="O45" i="109"/>
  <c r="O46" i="109"/>
  <c r="O48" i="109"/>
  <c r="O10" i="109"/>
  <c r="U15" i="109" l="1"/>
  <c r="U50" i="109" s="1"/>
  <c r="V15" i="109"/>
  <c r="V50" i="109" s="1"/>
  <c r="R15" i="109"/>
  <c r="R50" i="109" s="1"/>
  <c r="T15" i="109"/>
  <c r="T50" i="109" s="1"/>
  <c r="P15" i="109"/>
  <c r="P50" i="109" s="1"/>
  <c r="S15" i="109"/>
  <c r="S50" i="109" s="1"/>
  <c r="O15" i="109"/>
  <c r="O50" i="109" s="1"/>
  <c r="Q15" i="109"/>
  <c r="Q50" i="109" s="1"/>
  <c r="V12" i="110" l="1"/>
  <c r="V15" i="110"/>
  <c r="V25" i="110"/>
  <c r="V26" i="110"/>
  <c r="V29" i="110"/>
  <c r="V30" i="110"/>
  <c r="V35" i="110"/>
  <c r="V36" i="110"/>
  <c r="V55" i="110"/>
  <c r="V37" i="110"/>
  <c r="V38" i="110"/>
  <c r="V39" i="110"/>
  <c r="V40" i="110"/>
  <c r="V61" i="110"/>
  <c r="V56" i="110"/>
  <c r="V47" i="110"/>
  <c r="V45" i="110"/>
  <c r="V44" i="110"/>
  <c r="V50" i="110"/>
  <c r="V48" i="110"/>
  <c r="V49" i="110"/>
  <c r="V51" i="110"/>
  <c r="V52" i="110"/>
  <c r="V53" i="110"/>
  <c r="V54" i="110"/>
  <c r="V57" i="110"/>
  <c r="V31" i="110"/>
  <c r="V58" i="110"/>
  <c r="V59" i="110"/>
  <c r="V32" i="110"/>
  <c r="V60" i="110"/>
  <c r="V33" i="110"/>
  <c r="V66" i="110"/>
  <c r="V64" i="110"/>
  <c r="V62" i="110"/>
  <c r="V63" i="110"/>
  <c r="V65" i="110"/>
  <c r="V67" i="110"/>
  <c r="V69" i="110"/>
  <c r="V68" i="110"/>
  <c r="V71" i="110"/>
  <c r="V70" i="110"/>
  <c r="V10" i="110"/>
  <c r="V13" i="110"/>
  <c r="V14" i="110"/>
  <c r="V16" i="110"/>
  <c r="V17" i="110"/>
  <c r="V18" i="110"/>
  <c r="V19" i="110"/>
  <c r="V22" i="110"/>
  <c r="V23" i="110"/>
  <c r="V24" i="110"/>
  <c r="V27" i="110"/>
  <c r="V28" i="110"/>
  <c r="V34" i="110"/>
  <c r="V41" i="110"/>
  <c r="V42" i="110"/>
  <c r="V43" i="110"/>
  <c r="V46" i="110"/>
  <c r="V21" i="110"/>
  <c r="V20" i="110"/>
  <c r="V73" i="110"/>
  <c r="V11" i="110"/>
  <c r="U12" i="110"/>
  <c r="U15" i="110"/>
  <c r="U25" i="110"/>
  <c r="U26" i="110"/>
  <c r="U29" i="110"/>
  <c r="U30" i="110"/>
  <c r="U35" i="110"/>
  <c r="U36" i="110"/>
  <c r="U55" i="110"/>
  <c r="U37" i="110"/>
  <c r="U38" i="110"/>
  <c r="U39" i="110"/>
  <c r="U40" i="110"/>
  <c r="U61" i="110"/>
  <c r="U56" i="110"/>
  <c r="U47" i="110"/>
  <c r="U45" i="110"/>
  <c r="U44" i="110"/>
  <c r="U50" i="110"/>
  <c r="U48" i="110"/>
  <c r="U49" i="110"/>
  <c r="U51" i="110"/>
  <c r="U52" i="110"/>
  <c r="U53" i="110"/>
  <c r="U54" i="110"/>
  <c r="U57" i="110"/>
  <c r="U31" i="110"/>
  <c r="U58" i="110"/>
  <c r="U59" i="110"/>
  <c r="U32" i="110"/>
  <c r="U60" i="110"/>
  <c r="U33" i="110"/>
  <c r="U66" i="110"/>
  <c r="U64" i="110"/>
  <c r="U62" i="110"/>
  <c r="U63" i="110"/>
  <c r="U65" i="110"/>
  <c r="U67" i="110"/>
  <c r="U69" i="110"/>
  <c r="U68" i="110"/>
  <c r="U71" i="110"/>
  <c r="U70" i="110"/>
  <c r="U10" i="110"/>
  <c r="U13" i="110"/>
  <c r="U14" i="110"/>
  <c r="U16" i="110"/>
  <c r="U17" i="110"/>
  <c r="U18" i="110"/>
  <c r="U19" i="110"/>
  <c r="U22" i="110"/>
  <c r="U23" i="110"/>
  <c r="U24" i="110"/>
  <c r="U27" i="110"/>
  <c r="U28" i="110"/>
  <c r="U34" i="110"/>
  <c r="U41" i="110"/>
  <c r="U42" i="110"/>
  <c r="U43" i="110"/>
  <c r="U46" i="110"/>
  <c r="U21" i="110"/>
  <c r="U20" i="110"/>
  <c r="U73" i="110"/>
  <c r="U72" i="110"/>
  <c r="U11" i="110"/>
  <c r="T12" i="110"/>
  <c r="T15" i="110"/>
  <c r="T25" i="110"/>
  <c r="T26" i="110"/>
  <c r="T29" i="110"/>
  <c r="T30" i="110"/>
  <c r="T35" i="110"/>
  <c r="T36" i="110"/>
  <c r="T55" i="110"/>
  <c r="T37" i="110"/>
  <c r="T38" i="110"/>
  <c r="T39" i="110"/>
  <c r="T40" i="110"/>
  <c r="T61" i="110"/>
  <c r="T56" i="110"/>
  <c r="T47" i="110"/>
  <c r="T45" i="110"/>
  <c r="T44" i="110"/>
  <c r="T50" i="110"/>
  <c r="T48" i="110"/>
  <c r="T49" i="110"/>
  <c r="T51" i="110"/>
  <c r="T52" i="110"/>
  <c r="T53" i="110"/>
  <c r="T54" i="110"/>
  <c r="T57" i="110"/>
  <c r="T31" i="110"/>
  <c r="T58" i="110"/>
  <c r="T59" i="110"/>
  <c r="T32" i="110"/>
  <c r="T60" i="110"/>
  <c r="T33" i="110"/>
  <c r="T66" i="110"/>
  <c r="T64" i="110"/>
  <c r="T62" i="110"/>
  <c r="T63" i="110"/>
  <c r="T65" i="110"/>
  <c r="T67" i="110"/>
  <c r="T69" i="110"/>
  <c r="T68" i="110"/>
  <c r="T71" i="110"/>
  <c r="T70" i="110"/>
  <c r="T10" i="110"/>
  <c r="T13" i="110"/>
  <c r="T14" i="110"/>
  <c r="T16" i="110"/>
  <c r="T17" i="110"/>
  <c r="T18" i="110"/>
  <c r="T19" i="110"/>
  <c r="T22" i="110"/>
  <c r="T23" i="110"/>
  <c r="T24" i="110"/>
  <c r="T27" i="110"/>
  <c r="T28" i="110"/>
  <c r="T34" i="110"/>
  <c r="T41" i="110"/>
  <c r="T42" i="110"/>
  <c r="T43" i="110"/>
  <c r="T46" i="110"/>
  <c r="T21" i="110"/>
  <c r="T20" i="110"/>
  <c r="T73" i="110"/>
  <c r="T72" i="110"/>
  <c r="T11" i="110"/>
  <c r="S12" i="110"/>
  <c r="S15" i="110"/>
  <c r="S25" i="110"/>
  <c r="S26" i="110"/>
  <c r="S29" i="110"/>
  <c r="S30" i="110"/>
  <c r="S35" i="110"/>
  <c r="S36" i="110"/>
  <c r="S55" i="110"/>
  <c r="S37" i="110"/>
  <c r="S38" i="110"/>
  <c r="S39" i="110"/>
  <c r="S40" i="110"/>
  <c r="S61" i="110"/>
  <c r="S56" i="110"/>
  <c r="S47" i="110"/>
  <c r="S45" i="110"/>
  <c r="S44" i="110"/>
  <c r="S50" i="110"/>
  <c r="S48" i="110"/>
  <c r="S49" i="110"/>
  <c r="S51" i="110"/>
  <c r="S52" i="110"/>
  <c r="S53" i="110"/>
  <c r="S54" i="110"/>
  <c r="S57" i="110"/>
  <c r="S31" i="110"/>
  <c r="S58" i="110"/>
  <c r="S59" i="110"/>
  <c r="S32" i="110"/>
  <c r="S60" i="110"/>
  <c r="S33" i="110"/>
  <c r="S66" i="110"/>
  <c r="S64" i="110"/>
  <c r="S62" i="110"/>
  <c r="S63" i="110"/>
  <c r="S65" i="110"/>
  <c r="S67" i="110"/>
  <c r="S69" i="110"/>
  <c r="S68" i="110"/>
  <c r="S71" i="110"/>
  <c r="S70" i="110"/>
  <c r="S10" i="110"/>
  <c r="S13" i="110"/>
  <c r="S14" i="110"/>
  <c r="S16" i="110"/>
  <c r="S17" i="110"/>
  <c r="S18" i="110"/>
  <c r="S19" i="110"/>
  <c r="S22" i="110"/>
  <c r="S23" i="110"/>
  <c r="S24" i="110"/>
  <c r="S27" i="110"/>
  <c r="S28" i="110"/>
  <c r="S34" i="110"/>
  <c r="S41" i="110"/>
  <c r="S42" i="110"/>
  <c r="S43" i="110"/>
  <c r="S46" i="110"/>
  <c r="S21" i="110"/>
  <c r="S20" i="110"/>
  <c r="S73" i="110"/>
  <c r="S72" i="110"/>
  <c r="S11" i="110"/>
  <c r="R12" i="110"/>
  <c r="R15" i="110"/>
  <c r="R25" i="110"/>
  <c r="R26" i="110"/>
  <c r="R29" i="110"/>
  <c r="R30" i="110"/>
  <c r="R35" i="110"/>
  <c r="R36" i="110"/>
  <c r="R55" i="110"/>
  <c r="R37" i="110"/>
  <c r="R38" i="110"/>
  <c r="R39" i="110"/>
  <c r="R40" i="110"/>
  <c r="R61" i="110"/>
  <c r="R56" i="110"/>
  <c r="R47" i="110"/>
  <c r="R45" i="110"/>
  <c r="R44" i="110"/>
  <c r="R50" i="110"/>
  <c r="R48" i="110"/>
  <c r="R49" i="110"/>
  <c r="R51" i="110"/>
  <c r="R52" i="110"/>
  <c r="R53" i="110"/>
  <c r="R54" i="110"/>
  <c r="R57" i="110"/>
  <c r="R31" i="110"/>
  <c r="R58" i="110"/>
  <c r="R59" i="110"/>
  <c r="R32" i="110"/>
  <c r="R60" i="110"/>
  <c r="R33" i="110"/>
  <c r="R66" i="110"/>
  <c r="R64" i="110"/>
  <c r="R62" i="110"/>
  <c r="R63" i="110"/>
  <c r="R65" i="110"/>
  <c r="R67" i="110"/>
  <c r="R69" i="110"/>
  <c r="R68" i="110"/>
  <c r="R71" i="110"/>
  <c r="R70" i="110"/>
  <c r="R10" i="110"/>
  <c r="R13" i="110"/>
  <c r="R14" i="110"/>
  <c r="R16" i="110"/>
  <c r="R17" i="110"/>
  <c r="R18" i="110"/>
  <c r="R19" i="110"/>
  <c r="R22" i="110"/>
  <c r="R23" i="110"/>
  <c r="R24" i="110"/>
  <c r="R27" i="110"/>
  <c r="R28" i="110"/>
  <c r="R34" i="110"/>
  <c r="R41" i="110"/>
  <c r="R42" i="110"/>
  <c r="R43" i="110"/>
  <c r="R46" i="110"/>
  <c r="R21" i="110"/>
  <c r="R20" i="110"/>
  <c r="R73" i="110"/>
  <c r="R72" i="110"/>
  <c r="R11" i="110"/>
  <c r="Q12" i="110"/>
  <c r="Q15" i="110"/>
  <c r="Q25" i="110"/>
  <c r="Q26" i="110"/>
  <c r="Q29" i="110"/>
  <c r="Q30" i="110"/>
  <c r="Q35" i="110"/>
  <c r="Q36" i="110"/>
  <c r="Q55" i="110"/>
  <c r="Q37" i="110"/>
  <c r="Q38" i="110"/>
  <c r="Q39" i="110"/>
  <c r="Q40" i="110"/>
  <c r="Q61" i="110"/>
  <c r="Q56" i="110"/>
  <c r="Q47" i="110"/>
  <c r="Q45" i="110"/>
  <c r="Q44" i="110"/>
  <c r="Q50" i="110"/>
  <c r="Q48" i="110"/>
  <c r="Q49" i="110"/>
  <c r="Q51" i="110"/>
  <c r="Q52" i="110"/>
  <c r="Q53" i="110"/>
  <c r="Q54" i="110"/>
  <c r="Q57" i="110"/>
  <c r="Q31" i="110"/>
  <c r="Q58" i="110"/>
  <c r="Q59" i="110"/>
  <c r="Q32" i="110"/>
  <c r="Q60" i="110"/>
  <c r="Q33" i="110"/>
  <c r="Q66" i="110"/>
  <c r="Q64" i="110"/>
  <c r="Q62" i="110"/>
  <c r="Q63" i="110"/>
  <c r="Q65" i="110"/>
  <c r="Q67" i="110"/>
  <c r="Q69" i="110"/>
  <c r="Q68" i="110"/>
  <c r="Q71" i="110"/>
  <c r="Q70" i="110"/>
  <c r="Q10" i="110"/>
  <c r="Q13" i="110"/>
  <c r="Q14" i="110"/>
  <c r="Q16" i="110"/>
  <c r="Q17" i="110"/>
  <c r="Q18" i="110"/>
  <c r="Q19" i="110"/>
  <c r="Q22" i="110"/>
  <c r="Q23" i="110"/>
  <c r="Q24" i="110"/>
  <c r="Q27" i="110"/>
  <c r="Q28" i="110"/>
  <c r="Q34" i="110"/>
  <c r="Q41" i="110"/>
  <c r="Q42" i="110"/>
  <c r="Q43" i="110"/>
  <c r="Q46" i="110"/>
  <c r="Q21" i="110"/>
  <c r="Q20" i="110"/>
  <c r="Q73" i="110"/>
  <c r="Q72" i="110"/>
  <c r="Q11" i="110"/>
  <c r="P12" i="110"/>
  <c r="P15" i="110"/>
  <c r="P25" i="110"/>
  <c r="P26" i="110"/>
  <c r="P29" i="110"/>
  <c r="P30" i="110"/>
  <c r="P35" i="110"/>
  <c r="P36" i="110"/>
  <c r="P55" i="110"/>
  <c r="P37" i="110"/>
  <c r="P38" i="110"/>
  <c r="P39" i="110"/>
  <c r="P40" i="110"/>
  <c r="P61" i="110"/>
  <c r="P56" i="110"/>
  <c r="P47" i="110"/>
  <c r="P45" i="110"/>
  <c r="P44" i="110"/>
  <c r="P50" i="110"/>
  <c r="P48" i="110"/>
  <c r="P49" i="110"/>
  <c r="P51" i="110"/>
  <c r="P52" i="110"/>
  <c r="P53" i="110"/>
  <c r="P54" i="110"/>
  <c r="P57" i="110"/>
  <c r="P31" i="110"/>
  <c r="P58" i="110"/>
  <c r="P59" i="110"/>
  <c r="P32" i="110"/>
  <c r="P60" i="110"/>
  <c r="P33" i="110"/>
  <c r="P66" i="110"/>
  <c r="P64" i="110"/>
  <c r="P62" i="110"/>
  <c r="P63" i="110"/>
  <c r="P65" i="110"/>
  <c r="P67" i="110"/>
  <c r="P69" i="110"/>
  <c r="P68" i="110"/>
  <c r="P71" i="110"/>
  <c r="P70" i="110"/>
  <c r="P10" i="110"/>
  <c r="P13" i="110"/>
  <c r="P14" i="110"/>
  <c r="P16" i="110"/>
  <c r="P17" i="110"/>
  <c r="P18" i="110"/>
  <c r="P19" i="110"/>
  <c r="P22" i="110"/>
  <c r="P23" i="110"/>
  <c r="P24" i="110"/>
  <c r="P27" i="110"/>
  <c r="P28" i="110"/>
  <c r="P34" i="110"/>
  <c r="P41" i="110"/>
  <c r="P42" i="110"/>
  <c r="P43" i="110"/>
  <c r="P46" i="110"/>
  <c r="P21" i="110"/>
  <c r="P20" i="110"/>
  <c r="P73" i="110"/>
  <c r="P72" i="110"/>
  <c r="P11" i="110"/>
  <c r="O72" i="110"/>
  <c r="O12" i="110"/>
  <c r="O15" i="110"/>
  <c r="O25" i="110"/>
  <c r="O26" i="110"/>
  <c r="O29" i="110"/>
  <c r="O30" i="110"/>
  <c r="O35" i="110"/>
  <c r="O36" i="110"/>
  <c r="O55" i="110"/>
  <c r="O37" i="110"/>
  <c r="O38" i="110"/>
  <c r="O39" i="110"/>
  <c r="O40" i="110"/>
  <c r="O61" i="110"/>
  <c r="O56" i="110"/>
  <c r="O47" i="110"/>
  <c r="O45" i="110"/>
  <c r="O44" i="110"/>
  <c r="O50" i="110"/>
  <c r="O48" i="110"/>
  <c r="O49" i="110"/>
  <c r="O51" i="110"/>
  <c r="O52" i="110"/>
  <c r="O53" i="110"/>
  <c r="O54" i="110"/>
  <c r="O57" i="110"/>
  <c r="O31" i="110"/>
  <c r="O58" i="110"/>
  <c r="O59" i="110"/>
  <c r="O32" i="110"/>
  <c r="O60" i="110"/>
  <c r="O33" i="110"/>
  <c r="O66" i="110"/>
  <c r="O64" i="110"/>
  <c r="O62" i="110"/>
  <c r="O63" i="110"/>
  <c r="O65" i="110"/>
  <c r="O67" i="110"/>
  <c r="O69" i="110"/>
  <c r="O68" i="110"/>
  <c r="O71" i="110"/>
  <c r="O70" i="110"/>
  <c r="O10" i="110"/>
  <c r="O13" i="110"/>
  <c r="O14" i="110"/>
  <c r="O16" i="110"/>
  <c r="O17" i="110"/>
  <c r="O18" i="110"/>
  <c r="O19" i="110"/>
  <c r="O22" i="110"/>
  <c r="O23" i="110"/>
  <c r="O24" i="110"/>
  <c r="O27" i="110"/>
  <c r="O28" i="110"/>
  <c r="O34" i="110"/>
  <c r="O41" i="110"/>
  <c r="O42" i="110"/>
  <c r="O43" i="110"/>
  <c r="O46" i="110"/>
  <c r="O21" i="110"/>
  <c r="O20" i="110"/>
  <c r="O73" i="110"/>
  <c r="R74" i="110" l="1"/>
  <c r="P74" i="110"/>
  <c r="S74" i="110"/>
  <c r="V74" i="110"/>
  <c r="Q74" i="110"/>
  <c r="T74" i="110"/>
  <c r="O74" i="110"/>
  <c r="U74" i="110"/>
  <c r="F127" i="101"/>
  <c r="E127" i="101"/>
  <c r="F128" i="100"/>
  <c r="E128" i="100"/>
  <c r="F128" i="99"/>
  <c r="E128" i="99"/>
  <c r="G126" i="98"/>
  <c r="F126" i="98"/>
  <c r="E126" i="98"/>
  <c r="F128" i="97"/>
  <c r="E128" i="97"/>
  <c r="E10" i="8"/>
  <c r="F10" i="8" s="1"/>
  <c r="G59" i="82"/>
  <c r="H59" i="82"/>
  <c r="F59" i="82"/>
  <c r="E59" i="82"/>
  <c r="G58" i="82"/>
  <c r="H58" i="82"/>
  <c r="F58" i="82"/>
  <c r="E58" i="82"/>
  <c r="E128" i="82" l="1"/>
  <c r="F128" i="82"/>
  <c r="G128" i="82"/>
  <c r="H128" i="82"/>
  <c r="C80" i="97" l="1"/>
  <c r="F187" i="102" l="1"/>
  <c r="F184" i="102"/>
  <c r="F185" i="102"/>
  <c r="F177" i="102"/>
  <c r="F178" i="102"/>
  <c r="F179" i="102"/>
  <c r="F180" i="102"/>
  <c r="F181" i="102"/>
  <c r="F176" i="102"/>
  <c r="I176" i="102" s="1"/>
  <c r="F168" i="102"/>
  <c r="I168" i="102" s="1"/>
  <c r="F169" i="102"/>
  <c r="F170" i="102"/>
  <c r="I170" i="102" s="1"/>
  <c r="F171" i="102"/>
  <c r="F172" i="102"/>
  <c r="F173" i="102"/>
  <c r="I173" i="102" s="1"/>
  <c r="F174" i="102"/>
  <c r="F167" i="102"/>
  <c r="I167" i="102" s="1"/>
  <c r="E158" i="102"/>
  <c r="E159" i="102"/>
  <c r="E157" i="102"/>
  <c r="E151" i="102"/>
  <c r="E152" i="102"/>
  <c r="H152" i="102" s="1"/>
  <c r="E153" i="102"/>
  <c r="H153" i="102" s="1"/>
  <c r="E155" i="102"/>
  <c r="E150" i="102"/>
  <c r="H150" i="102" s="1"/>
  <c r="E142" i="102"/>
  <c r="E143" i="102"/>
  <c r="E144" i="102"/>
  <c r="E145" i="102"/>
  <c r="E146" i="102"/>
  <c r="E147" i="102"/>
  <c r="E148" i="102"/>
  <c r="E141" i="102"/>
  <c r="E134" i="102"/>
  <c r="E131" i="102"/>
  <c r="E132" i="102"/>
  <c r="E130" i="102"/>
  <c r="E124" i="102"/>
  <c r="E125" i="102"/>
  <c r="E126" i="102"/>
  <c r="E127" i="102"/>
  <c r="E128" i="102"/>
  <c r="E123" i="102"/>
  <c r="E115" i="102"/>
  <c r="E116" i="102"/>
  <c r="E117" i="102"/>
  <c r="E118" i="102"/>
  <c r="E120" i="102"/>
  <c r="E121" i="102"/>
  <c r="E114" i="102"/>
  <c r="E108" i="102"/>
  <c r="E105" i="102"/>
  <c r="E106" i="102"/>
  <c r="E104" i="102"/>
  <c r="E98" i="102"/>
  <c r="E99" i="102"/>
  <c r="E100" i="102"/>
  <c r="E102" i="102"/>
  <c r="E97" i="102"/>
  <c r="E89" i="102"/>
  <c r="E90" i="102"/>
  <c r="E91" i="102"/>
  <c r="E92" i="102"/>
  <c r="E93" i="102"/>
  <c r="E94" i="102"/>
  <c r="E95" i="102"/>
  <c r="E88" i="102"/>
  <c r="E82" i="102"/>
  <c r="E79" i="102"/>
  <c r="E80" i="102"/>
  <c r="E78" i="102"/>
  <c r="E72" i="102"/>
  <c r="E73" i="102"/>
  <c r="E74" i="102"/>
  <c r="E75" i="102"/>
  <c r="E76" i="102"/>
  <c r="E71" i="102"/>
  <c r="E63" i="102"/>
  <c r="E64" i="102"/>
  <c r="E65" i="102"/>
  <c r="E66" i="102"/>
  <c r="E67" i="102"/>
  <c r="E68" i="102"/>
  <c r="E69" i="102"/>
  <c r="E62" i="102"/>
  <c r="E56" i="102"/>
  <c r="E53" i="102"/>
  <c r="E54" i="102"/>
  <c r="E52" i="102"/>
  <c r="E46" i="102"/>
  <c r="E47" i="102"/>
  <c r="E48" i="102"/>
  <c r="E49" i="102"/>
  <c r="E50" i="102"/>
  <c r="E45" i="102"/>
  <c r="E37" i="102"/>
  <c r="E38" i="102"/>
  <c r="E39" i="102"/>
  <c r="E40" i="102"/>
  <c r="E41" i="102"/>
  <c r="E42" i="102"/>
  <c r="E43" i="102"/>
  <c r="E36" i="102"/>
  <c r="H196" i="102"/>
  <c r="I174" i="102"/>
  <c r="J186" i="102"/>
  <c r="E205" i="118"/>
  <c r="F204" i="118"/>
  <c r="F203" i="118"/>
  <c r="E202" i="118"/>
  <c r="F200" i="118"/>
  <c r="F197" i="118"/>
  <c r="F196" i="118"/>
  <c r="F195" i="118"/>
  <c r="E193" i="118"/>
  <c r="E191" i="118"/>
  <c r="F179" i="118"/>
  <c r="E178" i="118"/>
  <c r="E177" i="118"/>
  <c r="F176" i="118"/>
  <c r="F175" i="118"/>
  <c r="E170" i="118"/>
  <c r="F169" i="118"/>
  <c r="E167" i="118"/>
  <c r="E144" i="118"/>
  <c r="F143" i="118"/>
  <c r="E142" i="118"/>
  <c r="F141" i="118"/>
  <c r="F129" i="118"/>
  <c r="E126" i="118"/>
  <c r="E125" i="118"/>
  <c r="E119" i="118"/>
  <c r="E117" i="118"/>
  <c r="F116" i="118"/>
  <c r="F115" i="118"/>
  <c r="F113" i="118"/>
  <c r="E103" i="118"/>
  <c r="E92" i="118"/>
  <c r="F91" i="118"/>
  <c r="F87" i="118"/>
  <c r="E77" i="118"/>
  <c r="F75" i="118"/>
  <c r="E66" i="118"/>
  <c r="E65" i="118"/>
  <c r="F64" i="118"/>
  <c r="F63" i="118"/>
  <c r="F61" i="118"/>
  <c r="A4" i="118"/>
  <c r="A3" i="118"/>
  <c r="X11" i="116"/>
  <c r="X12" i="116"/>
  <c r="X10" i="116"/>
  <c r="O14" i="116"/>
  <c r="P14" i="116"/>
  <c r="Q14" i="116"/>
  <c r="R14" i="116"/>
  <c r="T14" i="116"/>
  <c r="U14" i="116"/>
  <c r="O13" i="116"/>
  <c r="Q13" i="116"/>
  <c r="R13" i="116"/>
  <c r="S13" i="116"/>
  <c r="T13" i="116"/>
  <c r="U13" i="116"/>
  <c r="A5" i="116"/>
  <c r="A4" i="116"/>
  <c r="V10" i="115"/>
  <c r="V21" i="115" s="1"/>
  <c r="V22" i="115" s="1"/>
  <c r="W10" i="115"/>
  <c r="W21" i="115" s="1"/>
  <c r="W22" i="115" s="1"/>
  <c r="U10" i="115"/>
  <c r="U21" i="115" s="1"/>
  <c r="U22" i="115" s="1"/>
  <c r="T10" i="115"/>
  <c r="T21" i="115" s="1"/>
  <c r="T22" i="115" s="1"/>
  <c r="S10" i="115"/>
  <c r="S21" i="115" s="1"/>
  <c r="S22" i="115" s="1"/>
  <c r="R10" i="115"/>
  <c r="R21" i="115" s="1"/>
  <c r="R22" i="115" s="1"/>
  <c r="Q10" i="115"/>
  <c r="Q21" i="115" s="1"/>
  <c r="Q22" i="115" s="1"/>
  <c r="V13" i="116" l="1"/>
  <c r="X13" i="116" s="1"/>
  <c r="V14" i="116"/>
  <c r="X14" i="116" s="1"/>
  <c r="X15" i="116"/>
  <c r="X16" i="116"/>
  <c r="E203" i="118"/>
  <c r="E204" i="118"/>
  <c r="F178" i="118"/>
  <c r="F202" i="118"/>
  <c r="E197" i="118"/>
  <c r="E196" i="118"/>
  <c r="F191" i="118"/>
  <c r="E195" i="118"/>
  <c r="F193" i="118"/>
  <c r="F205" i="118"/>
  <c r="F211" i="118"/>
  <c r="E200" i="118"/>
  <c r="E211" i="118"/>
  <c r="E143" i="118"/>
  <c r="F126" i="118"/>
  <c r="E169" i="118"/>
  <c r="E176" i="118"/>
  <c r="F117" i="118"/>
  <c r="E141" i="118"/>
  <c r="E175" i="118"/>
  <c r="F170" i="118"/>
  <c r="F177" i="118"/>
  <c r="F142" i="118"/>
  <c r="E155" i="118"/>
  <c r="F155" i="118" s="1"/>
  <c r="F167" i="118"/>
  <c r="E179" i="118"/>
  <c r="E185" i="118"/>
  <c r="F185" i="118"/>
  <c r="E129" i="118"/>
  <c r="F119" i="118"/>
  <c r="F133" i="118"/>
  <c r="F144" i="118"/>
  <c r="E139" i="118"/>
  <c r="F139" i="118" s="1"/>
  <c r="E115" i="118"/>
  <c r="F103" i="118"/>
  <c r="E116" i="118"/>
  <c r="E113" i="118"/>
  <c r="E133" i="118"/>
  <c r="F125" i="118"/>
  <c r="E91" i="118"/>
  <c r="E64" i="118"/>
  <c r="E63" i="118"/>
  <c r="F92" i="118"/>
  <c r="F107" i="118"/>
  <c r="E87" i="118"/>
  <c r="E107" i="118"/>
  <c r="F66" i="118"/>
  <c r="F65" i="118"/>
  <c r="E61" i="118"/>
  <c r="E75" i="118"/>
  <c r="E81" i="118"/>
  <c r="F77" i="118"/>
  <c r="F81" i="118"/>
  <c r="X17" i="116" l="1"/>
  <c r="X18" i="116" s="1"/>
  <c r="J32" i="76" s="1"/>
  <c r="E37" i="93"/>
  <c r="D37" i="93"/>
  <c r="E35" i="93"/>
  <c r="D35" i="93"/>
  <c r="E33" i="93"/>
  <c r="D33" i="93"/>
  <c r="E32" i="93"/>
  <c r="D32" i="93"/>
  <c r="E31" i="93"/>
  <c r="D31" i="93"/>
  <c r="E29" i="93"/>
  <c r="D29" i="93"/>
  <c r="E28" i="93"/>
  <c r="D28" i="93"/>
  <c r="E27" i="93"/>
  <c r="D27" i="93"/>
  <c r="E26" i="93"/>
  <c r="D26" i="93"/>
  <c r="E25" i="93"/>
  <c r="D25" i="93"/>
  <c r="E24" i="93"/>
  <c r="D24" i="93"/>
  <c r="D17" i="93"/>
  <c r="E17" i="93"/>
  <c r="D18" i="93"/>
  <c r="E18" i="93"/>
  <c r="D19" i="93"/>
  <c r="E19" i="93"/>
  <c r="D20" i="93"/>
  <c r="E20" i="93"/>
  <c r="D21" i="93"/>
  <c r="E21" i="93"/>
  <c r="D22" i="93"/>
  <c r="E22" i="93"/>
  <c r="E16" i="93"/>
  <c r="D16" i="93"/>
  <c r="E30" i="8" l="1"/>
  <c r="F30" i="8" s="1"/>
  <c r="E29" i="8"/>
  <c r="F29" i="8" s="1"/>
  <c r="E28" i="8"/>
  <c r="F28" i="8" s="1"/>
  <c r="E27" i="8"/>
  <c r="F27" i="8" s="1"/>
  <c r="E26" i="8"/>
  <c r="F26" i="8" s="1"/>
  <c r="E23" i="8"/>
  <c r="F23" i="8" s="1"/>
  <c r="E25" i="8"/>
  <c r="F25" i="8" s="1"/>
  <c r="E24" i="8"/>
  <c r="F24" i="8" s="1"/>
  <c r="E22" i="8"/>
  <c r="E11" i="8"/>
  <c r="F11" i="8" s="1"/>
  <c r="E12" i="8"/>
  <c r="F12" i="8" s="1"/>
  <c r="E13" i="8"/>
  <c r="F13" i="8" s="1"/>
  <c r="E14" i="8"/>
  <c r="F14" i="8" s="1"/>
  <c r="E15" i="8"/>
  <c r="F15" i="8" s="1"/>
  <c r="E16" i="8"/>
  <c r="F16" i="8" s="1"/>
  <c r="E31" i="8" l="1"/>
  <c r="F22" i="8"/>
  <c r="F31" i="8" l="1"/>
  <c r="F32" i="8" s="1"/>
  <c r="G114" i="82" s="1"/>
  <c r="C79" i="98" l="1"/>
  <c r="E9" i="8"/>
  <c r="F9" i="8" l="1"/>
  <c r="E17" i="8"/>
  <c r="A5" i="115"/>
  <c r="A4" i="115"/>
  <c r="A5" i="110"/>
  <c r="A4" i="110"/>
  <c r="A5" i="109"/>
  <c r="A4" i="109"/>
  <c r="F17" i="8" l="1"/>
  <c r="F18" i="8" s="1"/>
  <c r="E114" i="97" s="1"/>
  <c r="H114" i="82" l="1"/>
  <c r="E114" i="100"/>
  <c r="E113" i="101"/>
  <c r="E114" i="99"/>
  <c r="E112" i="98"/>
  <c r="E114" i="82"/>
  <c r="A5" i="8"/>
  <c r="A4" i="8"/>
  <c r="G159" i="102" l="1"/>
  <c r="G105" i="102"/>
  <c r="I133" i="102"/>
  <c r="G132" i="102"/>
  <c r="G131" i="102"/>
  <c r="E119" i="102"/>
  <c r="G54" i="102"/>
  <c r="G53" i="102"/>
  <c r="H159" i="102" l="1"/>
  <c r="H105" i="102"/>
  <c r="H132" i="102"/>
  <c r="H128" i="102"/>
  <c r="H131" i="102"/>
  <c r="H115" i="102"/>
  <c r="H121" i="102"/>
  <c r="H123" i="102"/>
  <c r="H125" i="102"/>
  <c r="H124" i="102"/>
  <c r="H54" i="102"/>
  <c r="I55" i="102"/>
  <c r="H37" i="102"/>
  <c r="H43" i="102"/>
  <c r="H53" i="102"/>
  <c r="I51" i="102" l="1"/>
  <c r="I129" i="102"/>
  <c r="I113" i="102"/>
  <c r="I122" i="102"/>
  <c r="I35" i="102"/>
  <c r="J113" i="102" l="1"/>
  <c r="J35" i="102"/>
  <c r="K35" i="102" l="1"/>
  <c r="F18" i="82" s="1"/>
  <c r="K113" i="102"/>
  <c r="G18" i="98" s="1"/>
  <c r="I212" i="102"/>
  <c r="H203" i="102"/>
  <c r="I201" i="102" s="1"/>
  <c r="H194" i="102"/>
  <c r="I185" i="102"/>
  <c r="I184" i="102"/>
  <c r="G158" i="102"/>
  <c r="G106" i="102"/>
  <c r="E101" i="102"/>
  <c r="G80" i="102"/>
  <c r="G79" i="102"/>
  <c r="I18" i="76" l="1"/>
  <c r="I25" i="76"/>
  <c r="J182" i="102"/>
  <c r="S51" i="109"/>
  <c r="S75" i="110"/>
  <c r="S76" i="110" s="1"/>
  <c r="G114" i="98" s="1"/>
  <c r="P75" i="110"/>
  <c r="P76" i="110" s="1"/>
  <c r="F116" i="82" s="1"/>
  <c r="P51" i="109"/>
  <c r="T23" i="115"/>
  <c r="Q23" i="115"/>
  <c r="H101" i="102"/>
  <c r="H211" i="102"/>
  <c r="H200" i="102"/>
  <c r="I192" i="102" s="1"/>
  <c r="H151" i="102"/>
  <c r="J166" i="102"/>
  <c r="I160" i="102"/>
  <c r="H100" i="102"/>
  <c r="H106" i="102"/>
  <c r="H142" i="102"/>
  <c r="J175" i="102"/>
  <c r="H155" i="102"/>
  <c r="H158" i="102"/>
  <c r="H147" i="102"/>
  <c r="H148" i="102"/>
  <c r="I81" i="102"/>
  <c r="H89" i="102"/>
  <c r="H94" i="102"/>
  <c r="H102" i="102"/>
  <c r="H99" i="102"/>
  <c r="H98" i="102"/>
  <c r="H95" i="102"/>
  <c r="H91" i="102"/>
  <c r="I107" i="102"/>
  <c r="H90" i="102"/>
  <c r="H97" i="102"/>
  <c r="H72" i="102"/>
  <c r="H73" i="102"/>
  <c r="H79" i="102"/>
  <c r="H69" i="102"/>
  <c r="H63" i="102"/>
  <c r="H68" i="102"/>
  <c r="H71" i="102"/>
  <c r="H74" i="102"/>
  <c r="H80" i="102"/>
  <c r="H75" i="102"/>
  <c r="P52" i="109" l="1"/>
  <c r="F117" i="82" s="1"/>
  <c r="S52" i="109"/>
  <c r="G115" i="98" s="1"/>
  <c r="Q24" i="115"/>
  <c r="F115" i="82" s="1"/>
  <c r="T24" i="115"/>
  <c r="G113" i="98" s="1"/>
  <c r="K166" i="102"/>
  <c r="I208" i="102"/>
  <c r="I103" i="102"/>
  <c r="I140" i="102"/>
  <c r="I149" i="102"/>
  <c r="I156" i="102"/>
  <c r="I96" i="102"/>
  <c r="I87" i="102"/>
  <c r="I61" i="102"/>
  <c r="I77" i="102"/>
  <c r="I70" i="102"/>
  <c r="J192" i="102" l="1"/>
  <c r="J140" i="102"/>
  <c r="J87" i="102"/>
  <c r="J61" i="102"/>
  <c r="K140" i="102" l="1"/>
  <c r="E18" i="99" s="1"/>
  <c r="L166" i="102"/>
  <c r="E18" i="100" s="1"/>
  <c r="K192" i="102"/>
  <c r="E18" i="101" s="1"/>
  <c r="K87" i="102"/>
  <c r="E18" i="98" s="1"/>
  <c r="K61" i="102"/>
  <c r="E18" i="97" s="1"/>
  <c r="A3" i="102"/>
  <c r="A4" i="102"/>
  <c r="D30" i="102"/>
  <c r="D28" i="102"/>
  <c r="D27" i="102"/>
  <c r="D26" i="102"/>
  <c r="D24" i="102"/>
  <c r="D23" i="102"/>
  <c r="D22" i="118" s="1"/>
  <c r="D22" i="102"/>
  <c r="D21" i="118" s="1"/>
  <c r="D21" i="102"/>
  <c r="D20" i="118" s="1"/>
  <c r="D20" i="102"/>
  <c r="D19" i="118" s="1"/>
  <c r="D19" i="102"/>
  <c r="D18" i="118" s="1"/>
  <c r="D17" i="102"/>
  <c r="D16" i="118" s="1"/>
  <c r="D16" i="102"/>
  <c r="D15" i="118" s="1"/>
  <c r="D15" i="102"/>
  <c r="D14" i="102"/>
  <c r="D13" i="102"/>
  <c r="D12" i="118" s="1"/>
  <c r="D12" i="102"/>
  <c r="D11" i="118" s="1"/>
  <c r="D11" i="102"/>
  <c r="D10" i="118" s="1"/>
  <c r="D10" i="102"/>
  <c r="D9" i="118" s="1"/>
  <c r="F60" i="95"/>
  <c r="E60" i="95"/>
  <c r="D60" i="95"/>
  <c r="C60" i="95"/>
  <c r="B60" i="95"/>
  <c r="F103" i="101"/>
  <c r="F108" i="101" s="1"/>
  <c r="E103" i="101"/>
  <c r="E108" i="101" s="1"/>
  <c r="C95" i="101"/>
  <c r="C94" i="101"/>
  <c r="C93" i="101"/>
  <c r="C92" i="101"/>
  <c r="C91" i="101"/>
  <c r="C90" i="101"/>
  <c r="C80" i="101"/>
  <c r="C77" i="101"/>
  <c r="C59" i="101"/>
  <c r="E59" i="101" s="1"/>
  <c r="C58" i="101"/>
  <c r="E58" i="101" s="1"/>
  <c r="C57" i="101"/>
  <c r="C52" i="101"/>
  <c r="C81" i="101" s="1"/>
  <c r="C37" i="101"/>
  <c r="F29" i="101"/>
  <c r="E29" i="101"/>
  <c r="F16" i="101"/>
  <c r="E16" i="101"/>
  <c r="F15" i="101"/>
  <c r="H31" i="76" s="1"/>
  <c r="E15" i="101"/>
  <c r="H30" i="76" s="1"/>
  <c r="F14" i="101"/>
  <c r="E14" i="101"/>
  <c r="F10" i="101"/>
  <c r="E31" i="76" s="1"/>
  <c r="E10" i="101"/>
  <c r="E30" i="76" s="1"/>
  <c r="F13" i="101"/>
  <c r="E13" i="101"/>
  <c r="F12" i="101"/>
  <c r="E12" i="101"/>
  <c r="A4" i="101"/>
  <c r="A3" i="101"/>
  <c r="F103" i="100"/>
  <c r="F108" i="100" s="1"/>
  <c r="E103" i="100"/>
  <c r="E108" i="100" s="1"/>
  <c r="C95" i="100"/>
  <c r="C94" i="100"/>
  <c r="C93" i="100"/>
  <c r="C92" i="100"/>
  <c r="C91" i="100"/>
  <c r="C90" i="100"/>
  <c r="C80" i="100"/>
  <c r="C77" i="100"/>
  <c r="C59" i="100"/>
  <c r="E59" i="100" s="1"/>
  <c r="C58" i="100"/>
  <c r="F58" i="100" s="1"/>
  <c r="C57" i="100"/>
  <c r="C52" i="100"/>
  <c r="C81" i="100" s="1"/>
  <c r="C37" i="100"/>
  <c r="F29" i="100"/>
  <c r="E29" i="100"/>
  <c r="F16" i="100"/>
  <c r="E16" i="100"/>
  <c r="F15" i="100"/>
  <c r="H29" i="76" s="1"/>
  <c r="E15" i="100"/>
  <c r="H28" i="76" s="1"/>
  <c r="F14" i="100"/>
  <c r="E14" i="100"/>
  <c r="F10" i="100"/>
  <c r="E29" i="76" s="1"/>
  <c r="E10" i="100"/>
  <c r="E28" i="76" s="1"/>
  <c r="F13" i="100"/>
  <c r="E13" i="100"/>
  <c r="F12" i="100"/>
  <c r="E12" i="100"/>
  <c r="A4" i="100"/>
  <c r="A3" i="100"/>
  <c r="F103" i="99"/>
  <c r="F108" i="99" s="1"/>
  <c r="E103" i="99"/>
  <c r="E108" i="99" s="1"/>
  <c r="C95" i="99"/>
  <c r="C94" i="99"/>
  <c r="C93" i="99"/>
  <c r="C92" i="99"/>
  <c r="C91" i="99"/>
  <c r="C90" i="99"/>
  <c r="C80" i="99"/>
  <c r="C77" i="99"/>
  <c r="C59" i="99"/>
  <c r="F59" i="99" s="1"/>
  <c r="C58" i="99"/>
  <c r="F58" i="99" s="1"/>
  <c r="C57" i="99"/>
  <c r="C52" i="99"/>
  <c r="C81" i="99" s="1"/>
  <c r="C37" i="99"/>
  <c r="F29" i="99"/>
  <c r="E29" i="99"/>
  <c r="F16" i="99"/>
  <c r="E16" i="99"/>
  <c r="F15" i="99"/>
  <c r="H27" i="76" s="1"/>
  <c r="E15" i="99"/>
  <c r="H26" i="76" s="1"/>
  <c r="F14" i="99"/>
  <c r="E14" i="99"/>
  <c r="F10" i="99"/>
  <c r="E27" i="76" s="1"/>
  <c r="E10" i="99"/>
  <c r="E26" i="76" s="1"/>
  <c r="F13" i="99"/>
  <c r="E13" i="99"/>
  <c r="F12" i="99"/>
  <c r="E12" i="99"/>
  <c r="A4" i="99"/>
  <c r="A3" i="99"/>
  <c r="D50" i="95"/>
  <c r="D40" i="95"/>
  <c r="F102" i="98"/>
  <c r="F107" i="98" s="1"/>
  <c r="F29" i="98"/>
  <c r="F16" i="98"/>
  <c r="F15" i="98"/>
  <c r="H24" i="76" s="1"/>
  <c r="F14" i="98"/>
  <c r="E14" i="98"/>
  <c r="F10" i="98"/>
  <c r="E24" i="76" s="1"/>
  <c r="F13" i="98"/>
  <c r="F12" i="98"/>
  <c r="G102" i="98"/>
  <c r="G107" i="98" s="1"/>
  <c r="E102" i="98"/>
  <c r="E107" i="98" s="1"/>
  <c r="C94" i="98"/>
  <c r="C93" i="98"/>
  <c r="C92" i="98"/>
  <c r="C91" i="98"/>
  <c r="C90" i="98"/>
  <c r="C89" i="98"/>
  <c r="C76" i="98"/>
  <c r="C59" i="98"/>
  <c r="E59" i="98" s="1"/>
  <c r="C58" i="98"/>
  <c r="E58" i="98" s="1"/>
  <c r="C57" i="98"/>
  <c r="C52" i="98"/>
  <c r="C80" i="98" s="1"/>
  <c r="C37" i="98"/>
  <c r="G29" i="98"/>
  <c r="E29" i="98"/>
  <c r="G16" i="98"/>
  <c r="E16" i="98"/>
  <c r="G15" i="98"/>
  <c r="H25" i="76" s="1"/>
  <c r="E15" i="98"/>
  <c r="H23" i="76" s="1"/>
  <c r="G14" i="98"/>
  <c r="G10" i="98"/>
  <c r="E25" i="76" s="1"/>
  <c r="E10" i="98"/>
  <c r="E23" i="76" s="1"/>
  <c r="G13" i="98"/>
  <c r="E13" i="98"/>
  <c r="G12" i="98"/>
  <c r="E12" i="98"/>
  <c r="A4" i="98"/>
  <c r="A3" i="98"/>
  <c r="F103" i="97"/>
  <c r="F108" i="97" s="1"/>
  <c r="E103" i="97"/>
  <c r="E108" i="97" s="1"/>
  <c r="C95" i="97"/>
  <c r="C94" i="97"/>
  <c r="C93" i="97"/>
  <c r="C92" i="97"/>
  <c r="C91" i="97"/>
  <c r="C90" i="97"/>
  <c r="C77" i="97"/>
  <c r="C59" i="97"/>
  <c r="C58" i="97"/>
  <c r="E58" i="97" s="1"/>
  <c r="C52" i="97"/>
  <c r="C81" i="97" s="1"/>
  <c r="C37" i="97"/>
  <c r="F29" i="97"/>
  <c r="E29" i="97"/>
  <c r="F16" i="97"/>
  <c r="E16" i="97"/>
  <c r="F15" i="97"/>
  <c r="H22" i="76" s="1"/>
  <c r="E15" i="97"/>
  <c r="H21" i="76" s="1"/>
  <c r="F14" i="97"/>
  <c r="E14" i="97"/>
  <c r="F10" i="97"/>
  <c r="E22" i="76" s="1"/>
  <c r="E10" i="97"/>
  <c r="E21" i="76" s="1"/>
  <c r="F13" i="97"/>
  <c r="E13" i="97"/>
  <c r="F12" i="97"/>
  <c r="E12" i="97"/>
  <c r="A4" i="97"/>
  <c r="A3" i="97"/>
  <c r="F50" i="95"/>
  <c r="E50" i="95"/>
  <c r="C50" i="95"/>
  <c r="B50" i="95"/>
  <c r="F40" i="95"/>
  <c r="E40" i="95"/>
  <c r="C40" i="95"/>
  <c r="B40" i="95"/>
  <c r="W23" i="115" l="1"/>
  <c r="W24" i="115" s="1"/>
  <c r="I30" i="76"/>
  <c r="I21" i="76"/>
  <c r="I26" i="76"/>
  <c r="I28" i="76"/>
  <c r="I23" i="76"/>
  <c r="F14" i="102"/>
  <c r="D13" i="118"/>
  <c r="F30" i="102"/>
  <c r="J29" i="102" s="1"/>
  <c r="D29" i="118"/>
  <c r="F15" i="102"/>
  <c r="D14" i="118"/>
  <c r="F24" i="102"/>
  <c r="D23" i="118"/>
  <c r="F26" i="102"/>
  <c r="D25" i="118"/>
  <c r="F27" i="102"/>
  <c r="I27" i="102" s="1"/>
  <c r="D26" i="118"/>
  <c r="F28" i="102"/>
  <c r="I28" i="102" s="1"/>
  <c r="D27" i="118"/>
  <c r="F12" i="102"/>
  <c r="I12" i="102" s="1"/>
  <c r="F21" i="102"/>
  <c r="I21" i="102" s="1"/>
  <c r="F22" i="102"/>
  <c r="I22" i="102" s="1"/>
  <c r="F13" i="102"/>
  <c r="I13" i="102" s="1"/>
  <c r="F23" i="102"/>
  <c r="I23" i="102" s="1"/>
  <c r="F11" i="102"/>
  <c r="I11" i="102" s="1"/>
  <c r="F16" i="102"/>
  <c r="I16" i="102" s="1"/>
  <c r="F17" i="102"/>
  <c r="I17" i="102" s="1"/>
  <c r="F20" i="102"/>
  <c r="I20" i="102" s="1"/>
  <c r="F10" i="102"/>
  <c r="I10" i="102" s="1"/>
  <c r="F19" i="102"/>
  <c r="I19" i="102" s="1"/>
  <c r="Q51" i="109"/>
  <c r="Q52" i="109" s="1"/>
  <c r="Q75" i="110"/>
  <c r="Q76" i="110" s="1"/>
  <c r="U51" i="109"/>
  <c r="U52" i="109" s="1"/>
  <c r="U75" i="110"/>
  <c r="U76" i="110" s="1"/>
  <c r="V75" i="110"/>
  <c r="V76" i="110" s="1"/>
  <c r="V51" i="109"/>
  <c r="V52" i="109" s="1"/>
  <c r="R51" i="109"/>
  <c r="R52" i="109" s="1"/>
  <c r="R75" i="110"/>
  <c r="R76" i="110" s="1"/>
  <c r="U23" i="115"/>
  <c r="T51" i="109"/>
  <c r="T52" i="109" s="1"/>
  <c r="T75" i="110"/>
  <c r="T76" i="110" s="1"/>
  <c r="E116" i="99" s="1"/>
  <c r="V23" i="115"/>
  <c r="V24" i="115" s="1"/>
  <c r="S23" i="115"/>
  <c r="S24" i="115" s="1"/>
  <c r="R23" i="115"/>
  <c r="R24" i="115" s="1"/>
  <c r="G117" i="98"/>
  <c r="G142" i="98" s="1"/>
  <c r="D18" i="102"/>
  <c r="D17" i="118" s="1"/>
  <c r="D29" i="102"/>
  <c r="D28" i="118" s="1"/>
  <c r="D9" i="102"/>
  <c r="D8" i="118" s="1"/>
  <c r="D25" i="102"/>
  <c r="D24" i="118" s="1"/>
  <c r="F59" i="101"/>
  <c r="F58" i="101"/>
  <c r="F59" i="100"/>
  <c r="E58" i="100"/>
  <c r="E59" i="99"/>
  <c r="E58" i="99"/>
  <c r="F59" i="98"/>
  <c r="F58" i="98"/>
  <c r="G59" i="98"/>
  <c r="G58" i="98"/>
  <c r="F58" i="97"/>
  <c r="E59" i="97"/>
  <c r="F59" i="97"/>
  <c r="J25" i="102" l="1"/>
  <c r="U24" i="115"/>
  <c r="E115" i="99" s="1"/>
  <c r="J18" i="102"/>
  <c r="J9" i="102"/>
  <c r="E117" i="100"/>
  <c r="F117" i="100"/>
  <c r="F115" i="97"/>
  <c r="E115" i="97"/>
  <c r="E117" i="97"/>
  <c r="F117" i="97"/>
  <c r="E115" i="100"/>
  <c r="F115" i="100"/>
  <c r="F114" i="101"/>
  <c r="E114" i="101"/>
  <c r="F116" i="101"/>
  <c r="E116" i="101"/>
  <c r="E115" i="101"/>
  <c r="F115" i="101"/>
  <c r="F115" i="98"/>
  <c r="E115" i="98"/>
  <c r="F116" i="99"/>
  <c r="F117" i="99"/>
  <c r="E117" i="99"/>
  <c r="E116" i="100"/>
  <c r="F116" i="100"/>
  <c r="F116" i="97"/>
  <c r="E116" i="97"/>
  <c r="F113" i="98"/>
  <c r="E113" i="98"/>
  <c r="F114" i="98"/>
  <c r="E114" i="98"/>
  <c r="D31" i="102"/>
  <c r="D30" i="118" s="1"/>
  <c r="F115" i="99" l="1"/>
  <c r="F119" i="99" s="1"/>
  <c r="F143" i="99" s="1"/>
  <c r="F119" i="97"/>
  <c r="F144" i="97" s="1"/>
  <c r="F119" i="100"/>
  <c r="F144" i="100" s="1"/>
  <c r="F118" i="101"/>
  <c r="F142" i="101" s="1"/>
  <c r="F117" i="98"/>
  <c r="F142" i="98" s="1"/>
  <c r="K9" i="102"/>
  <c r="L9" i="102" l="1"/>
  <c r="E18" i="82" s="1"/>
  <c r="E14" i="82"/>
  <c r="F14" i="82"/>
  <c r="G14" i="82"/>
  <c r="H14" i="82"/>
  <c r="G103" i="82"/>
  <c r="G108" i="82" s="1"/>
  <c r="H103" i="82"/>
  <c r="H108" i="82" s="1"/>
  <c r="I17" i="76" l="1"/>
  <c r="O75" i="110"/>
  <c r="O76" i="110" s="1"/>
  <c r="P23" i="115"/>
  <c r="P24" i="115" s="1"/>
  <c r="O51" i="109"/>
  <c r="D23" i="95"/>
  <c r="G57" i="82" s="1"/>
  <c r="E23" i="95"/>
  <c r="H57" i="82" s="1"/>
  <c r="C23" i="95"/>
  <c r="E33" i="95"/>
  <c r="E34" i="95"/>
  <c r="E36" i="95"/>
  <c r="E35" i="95"/>
  <c r="E32" i="95"/>
  <c r="E31" i="95"/>
  <c r="G29" i="82"/>
  <c r="H29" i="82"/>
  <c r="F29" i="82"/>
  <c r="E29" i="82"/>
  <c r="F24" i="82"/>
  <c r="O52" i="109" l="1"/>
  <c r="E117" i="82" s="1"/>
  <c r="G116" i="82"/>
  <c r="H116" i="82"/>
  <c r="E116" i="82"/>
  <c r="G115" i="82"/>
  <c r="H115" i="82"/>
  <c r="E115" i="82"/>
  <c r="F57" i="99"/>
  <c r="E57" i="99"/>
  <c r="F57" i="100"/>
  <c r="F57" i="101"/>
  <c r="E57" i="100"/>
  <c r="E57" i="101"/>
  <c r="F57" i="98"/>
  <c r="G57" i="98"/>
  <c r="E57" i="98"/>
  <c r="F57" i="82"/>
  <c r="F57" i="97"/>
  <c r="E57" i="97"/>
  <c r="E57" i="82"/>
  <c r="H12" i="82"/>
  <c r="G12" i="82"/>
  <c r="F12" i="82"/>
  <c r="E12" i="82"/>
  <c r="H15" i="82"/>
  <c r="H20" i="76" s="1"/>
  <c r="H16" i="82"/>
  <c r="H10" i="82"/>
  <c r="E20" i="76" s="1"/>
  <c r="H13" i="82"/>
  <c r="H117" i="82" l="1"/>
  <c r="G117" i="82"/>
  <c r="E119" i="82"/>
  <c r="G16" i="82"/>
  <c r="F16" i="82"/>
  <c r="E16" i="82"/>
  <c r="G13" i="82"/>
  <c r="G10" i="82"/>
  <c r="E19" i="76" s="1"/>
  <c r="G15" i="82"/>
  <c r="H19" i="76" s="1"/>
  <c r="A3" i="82"/>
  <c r="F15" i="82"/>
  <c r="H18" i="76" s="1"/>
  <c r="E15" i="82"/>
  <c r="H17" i="76" s="1"/>
  <c r="F10" i="82"/>
  <c r="E18" i="76" s="1"/>
  <c r="E10" i="82"/>
  <c r="E17" i="76" s="1"/>
  <c r="F13" i="82"/>
  <c r="E13" i="82"/>
  <c r="A4" i="95"/>
  <c r="A3" i="95"/>
  <c r="H23" i="82"/>
  <c r="H56" i="82" s="1"/>
  <c r="G23" i="82"/>
  <c r="G56" i="82" s="1"/>
  <c r="F103" i="82"/>
  <c r="F108" i="82" s="1"/>
  <c r="A5" i="93"/>
  <c r="A4" i="93"/>
  <c r="C95" i="82"/>
  <c r="C90" i="82"/>
  <c r="C94" i="82"/>
  <c r="C92" i="82"/>
  <c r="C93" i="82"/>
  <c r="F23" i="99" l="1"/>
  <c r="E23" i="99"/>
  <c r="F23" i="101"/>
  <c r="F23" i="100"/>
  <c r="E23" i="101"/>
  <c r="E23" i="100"/>
  <c r="G23" i="98"/>
  <c r="E23" i="98"/>
  <c r="F23" i="98"/>
  <c r="F23" i="97"/>
  <c r="F56" i="97" s="1"/>
  <c r="E23" i="97"/>
  <c r="E56" i="97" s="1"/>
  <c r="G24" i="82"/>
  <c r="G31" i="82" s="1"/>
  <c r="H24" i="82"/>
  <c r="H31" i="82" s="1"/>
  <c r="E23" i="82"/>
  <c r="E56" i="82" s="1"/>
  <c r="F23" i="82"/>
  <c r="F56" i="82" s="1"/>
  <c r="E24" i="101" l="1"/>
  <c r="E31" i="101" s="1"/>
  <c r="E56" i="101"/>
  <c r="E62" i="101" s="1"/>
  <c r="E69" i="101" s="1"/>
  <c r="F24" i="101"/>
  <c r="F31" i="101" s="1"/>
  <c r="F56" i="101"/>
  <c r="F62" i="101" s="1"/>
  <c r="F69" i="101" s="1"/>
  <c r="E24" i="100"/>
  <c r="E31" i="100" s="1"/>
  <c r="E56" i="100"/>
  <c r="E62" i="100" s="1"/>
  <c r="E69" i="100" s="1"/>
  <c r="F24" i="100"/>
  <c r="F31" i="100" s="1"/>
  <c r="F56" i="100"/>
  <c r="F62" i="100" s="1"/>
  <c r="F69" i="100" s="1"/>
  <c r="E24" i="99"/>
  <c r="E31" i="99" s="1"/>
  <c r="E56" i="99"/>
  <c r="E62" i="99" s="1"/>
  <c r="E69" i="99" s="1"/>
  <c r="F24" i="99"/>
  <c r="F31" i="99" s="1"/>
  <c r="F56" i="99"/>
  <c r="F62" i="99" s="1"/>
  <c r="F69" i="99" s="1"/>
  <c r="G24" i="98"/>
  <c r="G31" i="98" s="1"/>
  <c r="G56" i="98"/>
  <c r="G62" i="98" s="1"/>
  <c r="G69" i="98" s="1"/>
  <c r="F24" i="98"/>
  <c r="F31" i="98" s="1"/>
  <c r="F138" i="98" s="1"/>
  <c r="F56" i="98"/>
  <c r="F62" i="98" s="1"/>
  <c r="F69" i="98" s="1"/>
  <c r="E24" i="98"/>
  <c r="E31" i="98" s="1"/>
  <c r="E56" i="98"/>
  <c r="E62" i="98" s="1"/>
  <c r="E69" i="98" s="1"/>
  <c r="E62" i="97"/>
  <c r="E69" i="97" s="1"/>
  <c r="E24" i="97"/>
  <c r="E31" i="97" s="1"/>
  <c r="F62" i="97"/>
  <c r="F69" i="97" s="1"/>
  <c r="F24" i="97"/>
  <c r="F31" i="97" s="1"/>
  <c r="F31" i="82"/>
  <c r="F139" i="82" s="1"/>
  <c r="H62" i="82"/>
  <c r="H69" i="82" s="1"/>
  <c r="G62" i="82"/>
  <c r="G69" i="82" s="1"/>
  <c r="G139" i="82"/>
  <c r="H139" i="82"/>
  <c r="H38" i="82"/>
  <c r="G38" i="82"/>
  <c r="E24" i="82"/>
  <c r="E31" i="82" s="1"/>
  <c r="F38" i="100" l="1"/>
  <c r="F37" i="100"/>
  <c r="F140" i="100"/>
  <c r="F38" i="99"/>
  <c r="F37" i="99"/>
  <c r="F139" i="99"/>
  <c r="E37" i="99"/>
  <c r="E139" i="99"/>
  <c r="E38" i="99"/>
  <c r="E38" i="100"/>
  <c r="E140" i="100"/>
  <c r="E37" i="100"/>
  <c r="E38" i="101"/>
  <c r="E37" i="101"/>
  <c r="E138" i="101"/>
  <c r="F38" i="101"/>
  <c r="F37" i="101"/>
  <c r="F138" i="101"/>
  <c r="E38" i="98"/>
  <c r="E138" i="98"/>
  <c r="E37" i="98"/>
  <c r="F38" i="98"/>
  <c r="F37" i="98"/>
  <c r="G37" i="98"/>
  <c r="G38" i="98"/>
  <c r="G138" i="98"/>
  <c r="E38" i="97"/>
  <c r="E140" i="97"/>
  <c r="E37" i="97"/>
  <c r="F38" i="97"/>
  <c r="F140" i="97"/>
  <c r="F37" i="97"/>
  <c r="F38" i="82"/>
  <c r="E139" i="82"/>
  <c r="E38" i="82"/>
  <c r="F39" i="97" l="1"/>
  <c r="F67" i="97" s="1"/>
  <c r="F39" i="98"/>
  <c r="F67" i="98" s="1"/>
  <c r="E39" i="101"/>
  <c r="E67" i="101" s="1"/>
  <c r="E39" i="100"/>
  <c r="F39" i="100"/>
  <c r="F67" i="100" s="1"/>
  <c r="F39" i="99"/>
  <c r="F39" i="101"/>
  <c r="E39" i="99"/>
  <c r="E39" i="97"/>
  <c r="E67" i="97" s="1"/>
  <c r="E39" i="98"/>
  <c r="G39" i="98"/>
  <c r="F42" i="98" l="1"/>
  <c r="F44" i="98" s="1"/>
  <c r="F42" i="97"/>
  <c r="F49" i="97" s="1"/>
  <c r="E42" i="101"/>
  <c r="E44" i="101" s="1"/>
  <c r="F42" i="100"/>
  <c r="F48" i="100" s="1"/>
  <c r="E67" i="100"/>
  <c r="E42" i="100"/>
  <c r="F67" i="99"/>
  <c r="F42" i="99"/>
  <c r="F67" i="101"/>
  <c r="F42" i="101"/>
  <c r="E67" i="99"/>
  <c r="E42" i="99"/>
  <c r="E42" i="97"/>
  <c r="E44" i="97" s="1"/>
  <c r="G67" i="98"/>
  <c r="G42" i="98"/>
  <c r="E67" i="98"/>
  <c r="E42" i="98"/>
  <c r="E49" i="101" l="1"/>
  <c r="E45" i="101"/>
  <c r="F51" i="97"/>
  <c r="F45" i="97"/>
  <c r="F44" i="97"/>
  <c r="F51" i="100"/>
  <c r="F48" i="98"/>
  <c r="F48" i="97"/>
  <c r="F50" i="97"/>
  <c r="F46" i="97"/>
  <c r="F50" i="98"/>
  <c r="F51" i="98"/>
  <c r="F47" i="98"/>
  <c r="F46" i="98"/>
  <c r="F45" i="98"/>
  <c r="F49" i="98"/>
  <c r="F47" i="97"/>
  <c r="F47" i="100"/>
  <c r="E46" i="101"/>
  <c r="F45" i="100"/>
  <c r="F44" i="100"/>
  <c r="F46" i="100"/>
  <c r="F49" i="100"/>
  <c r="F50" i="100"/>
  <c r="E51" i="101"/>
  <c r="E48" i="101"/>
  <c r="E47" i="101"/>
  <c r="E50" i="101"/>
  <c r="E48" i="100"/>
  <c r="E45" i="100"/>
  <c r="E46" i="100"/>
  <c r="E50" i="100"/>
  <c r="E44" i="100"/>
  <c r="E51" i="100"/>
  <c r="E47" i="100"/>
  <c r="E49" i="100"/>
  <c r="F49" i="99"/>
  <c r="F45" i="99"/>
  <c r="F44" i="99"/>
  <c r="F51" i="99"/>
  <c r="F47" i="99"/>
  <c r="F50" i="99"/>
  <c r="F48" i="99"/>
  <c r="F46" i="99"/>
  <c r="E49" i="97"/>
  <c r="E48" i="99"/>
  <c r="E44" i="99"/>
  <c r="E50" i="99"/>
  <c r="E46" i="99"/>
  <c r="E51" i="99"/>
  <c r="E47" i="99"/>
  <c r="E49" i="99"/>
  <c r="E45" i="99"/>
  <c r="F46" i="101"/>
  <c r="F49" i="101"/>
  <c r="F45" i="101"/>
  <c r="F47" i="101"/>
  <c r="F48" i="101"/>
  <c r="F51" i="101"/>
  <c r="F50" i="101"/>
  <c r="F44" i="101"/>
  <c r="E47" i="97"/>
  <c r="E48" i="97"/>
  <c r="E51" i="97"/>
  <c r="E46" i="97"/>
  <c r="E50" i="97"/>
  <c r="E45" i="97"/>
  <c r="G46" i="98"/>
  <c r="G51" i="98"/>
  <c r="G44" i="98"/>
  <c r="G47" i="98"/>
  <c r="G49" i="98"/>
  <c r="G48" i="98"/>
  <c r="G45" i="98"/>
  <c r="G50" i="98"/>
  <c r="E46" i="98"/>
  <c r="E51" i="98"/>
  <c r="E44" i="98"/>
  <c r="E49" i="98"/>
  <c r="E45" i="98"/>
  <c r="E47" i="98"/>
  <c r="E48" i="98"/>
  <c r="E50" i="98"/>
  <c r="C91" i="82"/>
  <c r="F52" i="98" l="1"/>
  <c r="F68" i="98" s="1"/>
  <c r="F70" i="98" s="1"/>
  <c r="F139" i="98" s="1"/>
  <c r="F52" i="97"/>
  <c r="F68" i="97" s="1"/>
  <c r="F70" i="97" s="1"/>
  <c r="F141" i="97" s="1"/>
  <c r="F52" i="100"/>
  <c r="F68" i="100" s="1"/>
  <c r="F70" i="100" s="1"/>
  <c r="F141" i="100" s="1"/>
  <c r="E52" i="101"/>
  <c r="E68" i="101" s="1"/>
  <c r="E70" i="101" s="1"/>
  <c r="E139" i="101" s="1"/>
  <c r="E52" i="100"/>
  <c r="E68" i="100" s="1"/>
  <c r="E70" i="100" s="1"/>
  <c r="F52" i="99"/>
  <c r="F68" i="99" s="1"/>
  <c r="F70" i="99" s="1"/>
  <c r="E52" i="99"/>
  <c r="E68" i="99" s="1"/>
  <c r="E70" i="99" s="1"/>
  <c r="F52" i="101"/>
  <c r="F68" i="101" s="1"/>
  <c r="F70" i="101" s="1"/>
  <c r="E52" i="97"/>
  <c r="E68" i="97" s="1"/>
  <c r="E70" i="97" s="1"/>
  <c r="E141" i="97" s="1"/>
  <c r="G52" i="98"/>
  <c r="G68" i="98" s="1"/>
  <c r="G70" i="98" s="1"/>
  <c r="E52" i="98"/>
  <c r="E68" i="98" s="1"/>
  <c r="E70" i="98" s="1"/>
  <c r="C80" i="82"/>
  <c r="E75" i="101" l="1"/>
  <c r="E80" i="101" s="1"/>
  <c r="E81" i="101" s="1"/>
  <c r="F74" i="98"/>
  <c r="F79" i="98" s="1"/>
  <c r="F80" i="98" s="1"/>
  <c r="F73" i="98"/>
  <c r="F76" i="98" s="1"/>
  <c r="F78" i="98" s="1"/>
  <c r="F74" i="97"/>
  <c r="F77" i="97" s="1"/>
  <c r="F78" i="97" s="1"/>
  <c r="F74" i="100"/>
  <c r="F77" i="100" s="1"/>
  <c r="F79" i="100" s="1"/>
  <c r="F75" i="100"/>
  <c r="F80" i="100" s="1"/>
  <c r="F81" i="100" s="1"/>
  <c r="F75" i="97"/>
  <c r="F80" i="97" s="1"/>
  <c r="E74" i="101"/>
  <c r="E77" i="101" s="1"/>
  <c r="E75" i="97"/>
  <c r="E80" i="97" s="1"/>
  <c r="E82" i="97" s="1"/>
  <c r="E74" i="97"/>
  <c r="E77" i="97" s="1"/>
  <c r="E78" i="97" s="1"/>
  <c r="E74" i="100"/>
  <c r="E77" i="100" s="1"/>
  <c r="E75" i="100"/>
  <c r="E80" i="100" s="1"/>
  <c r="E141" i="100"/>
  <c r="F140" i="99"/>
  <c r="F75" i="99"/>
  <c r="F80" i="99" s="1"/>
  <c r="F74" i="99"/>
  <c r="F77" i="99" s="1"/>
  <c r="F139" i="101"/>
  <c r="F74" i="101"/>
  <c r="F77" i="101" s="1"/>
  <c r="F75" i="101"/>
  <c r="F80" i="101" s="1"/>
  <c r="E140" i="99"/>
  <c r="E75" i="99"/>
  <c r="E80" i="99" s="1"/>
  <c r="E74" i="99"/>
  <c r="E77" i="99" s="1"/>
  <c r="E139" i="98"/>
  <c r="E74" i="98"/>
  <c r="E79" i="98" s="1"/>
  <c r="E73" i="98"/>
  <c r="E76" i="98" s="1"/>
  <c r="E78" i="98" s="1"/>
  <c r="G139" i="98"/>
  <c r="G73" i="98"/>
  <c r="G76" i="98" s="1"/>
  <c r="G74" i="98"/>
  <c r="G79" i="98" s="1"/>
  <c r="C77" i="82"/>
  <c r="C37" i="82"/>
  <c r="E82" i="101" l="1"/>
  <c r="F78" i="100"/>
  <c r="F81" i="98"/>
  <c r="F82" i="100"/>
  <c r="F77" i="98"/>
  <c r="F81" i="97"/>
  <c r="F82" i="97"/>
  <c r="E81" i="97"/>
  <c r="F79" i="97"/>
  <c r="E79" i="97"/>
  <c r="E79" i="101"/>
  <c r="E78" i="101"/>
  <c r="E81" i="100"/>
  <c r="E82" i="100"/>
  <c r="E78" i="100"/>
  <c r="E79" i="100"/>
  <c r="F78" i="99"/>
  <c r="F79" i="99"/>
  <c r="F82" i="99"/>
  <c r="F81" i="99"/>
  <c r="F82" i="101"/>
  <c r="F81" i="101"/>
  <c r="E78" i="99"/>
  <c r="E79" i="99"/>
  <c r="F79" i="101"/>
  <c r="F78" i="101"/>
  <c r="E82" i="99"/>
  <c r="E81" i="99"/>
  <c r="E77" i="98"/>
  <c r="G80" i="98"/>
  <c r="G81" i="98"/>
  <c r="E80" i="98"/>
  <c r="E81" i="98"/>
  <c r="G77" i="98"/>
  <c r="G78" i="98"/>
  <c r="F37" i="82"/>
  <c r="F39" i="82" s="1"/>
  <c r="G37" i="82"/>
  <c r="G39" i="82" s="1"/>
  <c r="H37" i="82"/>
  <c r="H39" i="82" s="1"/>
  <c r="E37" i="82"/>
  <c r="E39" i="82" s="1"/>
  <c r="F82" i="98" l="1"/>
  <c r="F83" i="100"/>
  <c r="F88" i="100" s="1"/>
  <c r="F94" i="100" s="1"/>
  <c r="E83" i="97"/>
  <c r="E88" i="97" s="1"/>
  <c r="E95" i="97" s="1"/>
  <c r="F83" i="97"/>
  <c r="F142" i="97" s="1"/>
  <c r="E83" i="101"/>
  <c r="F83" i="101"/>
  <c r="E83" i="100"/>
  <c r="E142" i="100" s="1"/>
  <c r="F83" i="99"/>
  <c r="E83" i="99"/>
  <c r="E82" i="98"/>
  <c r="E140" i="98" s="1"/>
  <c r="G82" i="98"/>
  <c r="G140" i="98" s="1"/>
  <c r="G42" i="82"/>
  <c r="G46" i="82" s="1"/>
  <c r="G67" i="82"/>
  <c r="E42" i="82"/>
  <c r="E51" i="82" s="1"/>
  <c r="E67" i="82"/>
  <c r="H42" i="82"/>
  <c r="H45" i="82" s="1"/>
  <c r="H67" i="82"/>
  <c r="F42" i="82"/>
  <c r="F100" i="101" l="1"/>
  <c r="F140" i="101"/>
  <c r="E88" i="101"/>
  <c r="E96" i="101" s="1"/>
  <c r="E140" i="101"/>
  <c r="E87" i="98"/>
  <c r="E91" i="98" s="1"/>
  <c r="E100" i="99"/>
  <c r="E141" i="99"/>
  <c r="F99" i="98"/>
  <c r="F140" i="98"/>
  <c r="F87" i="98"/>
  <c r="F90" i="98" s="1"/>
  <c r="F100" i="99"/>
  <c r="F141" i="99"/>
  <c r="F100" i="100"/>
  <c r="F142" i="100"/>
  <c r="E100" i="97"/>
  <c r="E142" i="97"/>
  <c r="E100" i="101"/>
  <c r="F100" i="97"/>
  <c r="F88" i="97"/>
  <c r="F95" i="100"/>
  <c r="F91" i="100"/>
  <c r="F92" i="100"/>
  <c r="F96" i="100"/>
  <c r="F93" i="100"/>
  <c r="F90" i="100"/>
  <c r="F88" i="99"/>
  <c r="F93" i="99" s="1"/>
  <c r="F88" i="101"/>
  <c r="F90" i="101" s="1"/>
  <c r="E96" i="97"/>
  <c r="E94" i="97"/>
  <c r="E88" i="99"/>
  <c r="E95" i="99" s="1"/>
  <c r="E88" i="100"/>
  <c r="E100" i="100"/>
  <c r="E92" i="97"/>
  <c r="E90" i="97"/>
  <c r="E93" i="97"/>
  <c r="E91" i="97"/>
  <c r="E99" i="98"/>
  <c r="G99" i="98"/>
  <c r="G87" i="98"/>
  <c r="E46" i="82"/>
  <c r="E45" i="82"/>
  <c r="H50" i="82"/>
  <c r="E49" i="82"/>
  <c r="G47" i="82"/>
  <c r="H47" i="82"/>
  <c r="E50" i="82"/>
  <c r="E47" i="82"/>
  <c r="E44" i="82"/>
  <c r="H51" i="82"/>
  <c r="E48" i="82"/>
  <c r="H48" i="82"/>
  <c r="H49" i="82"/>
  <c r="H46" i="82"/>
  <c r="G44" i="82"/>
  <c r="G48" i="82"/>
  <c r="G45" i="82"/>
  <c r="G49" i="82"/>
  <c r="G50" i="82"/>
  <c r="H44" i="82"/>
  <c r="G51" i="82"/>
  <c r="F48" i="82"/>
  <c r="F45" i="82"/>
  <c r="F47" i="82"/>
  <c r="F49" i="82"/>
  <c r="F46" i="82"/>
  <c r="F44" i="82"/>
  <c r="F51" i="82"/>
  <c r="F50" i="82"/>
  <c r="E62" i="82"/>
  <c r="E69" i="82" s="1"/>
  <c r="F62" i="82"/>
  <c r="E91" i="101" l="1"/>
  <c r="F95" i="98"/>
  <c r="E94" i="98"/>
  <c r="E93" i="101"/>
  <c r="E95" i="101"/>
  <c r="E89" i="98"/>
  <c r="E95" i="98"/>
  <c r="E93" i="98"/>
  <c r="E90" i="98"/>
  <c r="E92" i="98"/>
  <c r="F94" i="98"/>
  <c r="F92" i="98"/>
  <c r="F89" i="98"/>
  <c r="E94" i="101"/>
  <c r="F93" i="98"/>
  <c r="E92" i="101"/>
  <c r="F91" i="98"/>
  <c r="E90" i="101"/>
  <c r="F91" i="97"/>
  <c r="F94" i="97"/>
  <c r="F93" i="97"/>
  <c r="F95" i="97"/>
  <c r="F92" i="97"/>
  <c r="F96" i="97"/>
  <c r="F90" i="97"/>
  <c r="F91" i="99"/>
  <c r="F94" i="99"/>
  <c r="F97" i="100"/>
  <c r="F107" i="100" s="1"/>
  <c r="F109" i="100" s="1"/>
  <c r="F122" i="100" s="1"/>
  <c r="F126" i="100" s="1"/>
  <c r="F90" i="99"/>
  <c r="F91" i="101"/>
  <c r="F95" i="99"/>
  <c r="F92" i="101"/>
  <c r="F92" i="99"/>
  <c r="F94" i="101"/>
  <c r="F96" i="99"/>
  <c r="E94" i="99"/>
  <c r="F96" i="101"/>
  <c r="F93" i="101"/>
  <c r="F95" i="101"/>
  <c r="E93" i="99"/>
  <c r="E92" i="99"/>
  <c r="E96" i="99"/>
  <c r="E91" i="99"/>
  <c r="E90" i="99"/>
  <c r="E96" i="100"/>
  <c r="E91" i="100"/>
  <c r="E93" i="100"/>
  <c r="E90" i="100"/>
  <c r="E94" i="100"/>
  <c r="E92" i="100"/>
  <c r="E95" i="100"/>
  <c r="E97" i="97"/>
  <c r="E107" i="97" s="1"/>
  <c r="E109" i="97" s="1"/>
  <c r="G92" i="98"/>
  <c r="G95" i="98"/>
  <c r="G91" i="98"/>
  <c r="G89" i="98"/>
  <c r="G93" i="98"/>
  <c r="G94" i="98"/>
  <c r="G90" i="98"/>
  <c r="E52" i="82"/>
  <c r="E68" i="82" s="1"/>
  <c r="E70" i="82" s="1"/>
  <c r="G52" i="82"/>
  <c r="G68" i="82" s="1"/>
  <c r="G70" i="82" s="1"/>
  <c r="G140" i="82" s="1"/>
  <c r="H52" i="82"/>
  <c r="H68" i="82" s="1"/>
  <c r="H70" i="82" s="1"/>
  <c r="F52" i="82"/>
  <c r="F69" i="82"/>
  <c r="E103" i="82"/>
  <c r="E108" i="82" s="1"/>
  <c r="C52" i="82"/>
  <c r="C81" i="82" s="1"/>
  <c r="A4" i="82"/>
  <c r="E96" i="98" l="1"/>
  <c r="E106" i="98" s="1"/>
  <c r="E108" i="98" s="1"/>
  <c r="E141" i="98" s="1"/>
  <c r="E97" i="101"/>
  <c r="E107" i="101" s="1"/>
  <c r="E109" i="101" s="1"/>
  <c r="E141" i="101" s="1"/>
  <c r="F96" i="98"/>
  <c r="F106" i="98" s="1"/>
  <c r="F108" i="98" s="1"/>
  <c r="F141" i="98" s="1"/>
  <c r="F143" i="98" s="1"/>
  <c r="F143" i="100"/>
  <c r="F145" i="100" s="1"/>
  <c r="F97" i="97"/>
  <c r="F107" i="97" s="1"/>
  <c r="F109" i="97" s="1"/>
  <c r="F97" i="99"/>
  <c r="F107" i="99" s="1"/>
  <c r="F109" i="99" s="1"/>
  <c r="F142" i="99" s="1"/>
  <c r="F144" i="99" s="1"/>
  <c r="F97" i="101"/>
  <c r="F107" i="101" s="1"/>
  <c r="F109" i="101" s="1"/>
  <c r="F141" i="101" s="1"/>
  <c r="F143" i="101" s="1"/>
  <c r="E97" i="99"/>
  <c r="E107" i="99" s="1"/>
  <c r="E109" i="99" s="1"/>
  <c r="E142" i="99" s="1"/>
  <c r="E140" i="82"/>
  <c r="E97" i="100"/>
  <c r="E107" i="100" s="1"/>
  <c r="E109" i="100" s="1"/>
  <c r="E143" i="97"/>
  <c r="F123" i="100"/>
  <c r="F127" i="100" s="1"/>
  <c r="G96" i="98"/>
  <c r="G106" i="98" s="1"/>
  <c r="G108" i="98" s="1"/>
  <c r="G74" i="82"/>
  <c r="G77" i="82" s="1"/>
  <c r="G79" i="82" s="1"/>
  <c r="G75" i="82"/>
  <c r="G80" i="82" s="1"/>
  <c r="G82" i="82" s="1"/>
  <c r="E74" i="82"/>
  <c r="E77" i="82" s="1"/>
  <c r="E78" i="82" s="1"/>
  <c r="H75" i="82"/>
  <c r="H80" i="82" s="1"/>
  <c r="H82" i="82" s="1"/>
  <c r="H74" i="82"/>
  <c r="H77" i="82" s="1"/>
  <c r="H78" i="82" s="1"/>
  <c r="H140" i="82"/>
  <c r="F67" i="82"/>
  <c r="F120" i="98" l="1"/>
  <c r="F124" i="98" s="1"/>
  <c r="F122" i="99"/>
  <c r="F121" i="101"/>
  <c r="F125" i="101" s="1"/>
  <c r="F143" i="97"/>
  <c r="F145" i="97" s="1"/>
  <c r="F122" i="97"/>
  <c r="F126" i="97" s="1"/>
  <c r="E143" i="100"/>
  <c r="F124" i="100"/>
  <c r="F132" i="100" s="1"/>
  <c r="G141" i="98"/>
  <c r="G143" i="98" s="1"/>
  <c r="G120" i="98"/>
  <c r="G124" i="98" s="1"/>
  <c r="G78" i="82"/>
  <c r="G81" i="82"/>
  <c r="H81" i="82"/>
  <c r="E79" i="82"/>
  <c r="H79" i="82"/>
  <c r="F121" i="98" l="1"/>
  <c r="F125" i="98" s="1"/>
  <c r="F123" i="97"/>
  <c r="F126" i="99"/>
  <c r="H83" i="82"/>
  <c r="F129" i="100"/>
  <c r="F130" i="100"/>
  <c r="F131" i="100"/>
  <c r="F122" i="101"/>
  <c r="G121" i="98"/>
  <c r="G83" i="82"/>
  <c r="F122" i="98" l="1"/>
  <c r="F130" i="98" s="1"/>
  <c r="F127" i="97"/>
  <c r="F124" i="97" s="1"/>
  <c r="F126" i="101"/>
  <c r="F123" i="101" s="1"/>
  <c r="F134" i="100"/>
  <c r="F146" i="100" s="1"/>
  <c r="F147" i="100" s="1"/>
  <c r="F123" i="99"/>
  <c r="G125" i="98"/>
  <c r="G122" i="98" s="1"/>
  <c r="G130" i="98" s="1"/>
  <c r="G100" i="82"/>
  <c r="G141" i="82"/>
  <c r="H100" i="82"/>
  <c r="H141" i="82"/>
  <c r="H88" i="82"/>
  <c r="H90" i="82" s="1"/>
  <c r="G88" i="82"/>
  <c r="G90" i="82" s="1"/>
  <c r="J29" i="76" l="1"/>
  <c r="K29" i="76" s="1"/>
  <c r="F127" i="98"/>
  <c r="F129" i="98"/>
  <c r="F128" i="98"/>
  <c r="F129" i="97"/>
  <c r="F132" i="97"/>
  <c r="F130" i="97"/>
  <c r="F131" i="97"/>
  <c r="F131" i="101"/>
  <c r="F130" i="101"/>
  <c r="F128" i="101"/>
  <c r="F129" i="101"/>
  <c r="F127" i="99"/>
  <c r="F124" i="99" s="1"/>
  <c r="H94" i="82"/>
  <c r="H95" i="82"/>
  <c r="H91" i="82"/>
  <c r="H96" i="82"/>
  <c r="H93" i="82"/>
  <c r="H92" i="82"/>
  <c r="G129" i="98"/>
  <c r="G128" i="98"/>
  <c r="G127" i="98"/>
  <c r="G96" i="82"/>
  <c r="G93" i="82"/>
  <c r="G94" i="82"/>
  <c r="G91" i="82"/>
  <c r="G95" i="82"/>
  <c r="G92" i="82"/>
  <c r="F68" i="82"/>
  <c r="F70" i="82" s="1"/>
  <c r="F132" i="98" l="1"/>
  <c r="F144" i="98" s="1"/>
  <c r="F145" i="98" s="1"/>
  <c r="J24" i="76" s="1"/>
  <c r="K24" i="76" s="1"/>
  <c r="L24" i="76" s="1"/>
  <c r="G132" i="98"/>
  <c r="G144" i="98" s="1"/>
  <c r="F134" i="97"/>
  <c r="F146" i="97" s="1"/>
  <c r="F147" i="97" s="1"/>
  <c r="F133" i="101"/>
  <c r="F144" i="101" s="1"/>
  <c r="F145" i="101" s="1"/>
  <c r="F130" i="99"/>
  <c r="F131" i="99"/>
  <c r="F132" i="99"/>
  <c r="F129" i="99"/>
  <c r="L29" i="76"/>
  <c r="H97" i="82"/>
  <c r="H107" i="82" s="1"/>
  <c r="H109" i="82" s="1"/>
  <c r="H142" i="82" s="1"/>
  <c r="G97" i="82"/>
  <c r="G107" i="82" s="1"/>
  <c r="G109" i="82" s="1"/>
  <c r="F140" i="82"/>
  <c r="F74" i="82"/>
  <c r="F77" i="82" s="1"/>
  <c r="F75" i="82"/>
  <c r="F80" i="82" s="1"/>
  <c r="F82" i="82" s="1"/>
  <c r="E75" i="82"/>
  <c r="E80" i="82" s="1"/>
  <c r="J31" i="76" l="1"/>
  <c r="K31" i="76" s="1"/>
  <c r="L31" i="76" s="1"/>
  <c r="J22" i="76"/>
  <c r="K22" i="76" s="1"/>
  <c r="L22" i="76" s="1"/>
  <c r="F134" i="99"/>
  <c r="F145" i="99" s="1"/>
  <c r="F146" i="99" s="1"/>
  <c r="G145" i="98"/>
  <c r="G142" i="82"/>
  <c r="F78" i="82"/>
  <c r="F79" i="82"/>
  <c r="E82" i="82"/>
  <c r="E81" i="82"/>
  <c r="F81" i="82"/>
  <c r="J27" i="76" l="1"/>
  <c r="K27" i="76" s="1"/>
  <c r="L27" i="76" s="1"/>
  <c r="J25" i="76"/>
  <c r="K25" i="76" s="1"/>
  <c r="E114" i="118" s="1"/>
  <c r="F83" i="82"/>
  <c r="F141" i="82" s="1"/>
  <c r="E83" i="82"/>
  <c r="E88" i="82" l="1"/>
  <c r="E141" i="82"/>
  <c r="E131" i="118"/>
  <c r="F131" i="118" s="1"/>
  <c r="E130" i="118"/>
  <c r="F130" i="118" s="1"/>
  <c r="E120" i="118"/>
  <c r="F120" i="118" s="1"/>
  <c r="L25" i="76"/>
  <c r="E124" i="118"/>
  <c r="F124" i="118" s="1"/>
  <c r="E118" i="118"/>
  <c r="F118" i="118" s="1"/>
  <c r="E123" i="118"/>
  <c r="F123" i="118" s="1"/>
  <c r="E122" i="118"/>
  <c r="F122" i="118" s="1"/>
  <c r="E127" i="118"/>
  <c r="F127" i="118" s="1"/>
  <c r="F114" i="118"/>
  <c r="F100" i="82"/>
  <c r="F88" i="82"/>
  <c r="E100" i="82"/>
  <c r="E134" i="118" l="1"/>
  <c r="F96" i="82"/>
  <c r="F92" i="82"/>
  <c r="F95" i="82"/>
  <c r="F93" i="82"/>
  <c r="F90" i="82"/>
  <c r="F91" i="82"/>
  <c r="F94" i="82"/>
  <c r="E94" i="82"/>
  <c r="E93" i="82"/>
  <c r="E92" i="82"/>
  <c r="E90" i="82"/>
  <c r="E95" i="82"/>
  <c r="E96" i="82"/>
  <c r="E91" i="82"/>
  <c r="E97" i="82" l="1"/>
  <c r="E107" i="82" s="1"/>
  <c r="E109" i="82" s="1"/>
  <c r="F97" i="82"/>
  <c r="F107" i="82" s="1"/>
  <c r="F109" i="82" s="1"/>
  <c r="F142" i="82" l="1"/>
  <c r="E142" i="82"/>
  <c r="F119" i="82" l="1"/>
  <c r="G119" i="82"/>
  <c r="H119" i="82"/>
  <c r="E119" i="100"/>
  <c r="E117" i="98"/>
  <c r="E119" i="97"/>
  <c r="E122" i="97" s="1"/>
  <c r="E126" i="97" s="1"/>
  <c r="E118" i="101"/>
  <c r="E119" i="99"/>
  <c r="G143" i="82" l="1"/>
  <c r="G144" i="82" s="1"/>
  <c r="G122" i="82"/>
  <c r="H143" i="82"/>
  <c r="H144" i="82" s="1"/>
  <c r="H122" i="82"/>
  <c r="F143" i="82"/>
  <c r="F144" i="82" s="1"/>
  <c r="F122" i="82"/>
  <c r="E144" i="97"/>
  <c r="E145" i="97" s="1"/>
  <c r="E122" i="99"/>
  <c r="E143" i="99"/>
  <c r="E144" i="99" s="1"/>
  <c r="E142" i="98"/>
  <c r="E143" i="98" s="1"/>
  <c r="E120" i="98"/>
  <c r="E121" i="101"/>
  <c r="E142" i="101"/>
  <c r="E143" i="101" s="1"/>
  <c r="E144" i="100"/>
  <c r="E145" i="100" s="1"/>
  <c r="E122" i="100"/>
  <c r="E126" i="100" s="1"/>
  <c r="F126" i="82" l="1"/>
  <c r="H126" i="82"/>
  <c r="G126" i="82"/>
  <c r="E124" i="98"/>
  <c r="E123" i="97"/>
  <c r="E126" i="99"/>
  <c r="E123" i="100"/>
  <c r="E125" i="101"/>
  <c r="E122" i="82"/>
  <c r="E126" i="82" s="1"/>
  <c r="E143" i="82"/>
  <c r="E144" i="82" s="1"/>
  <c r="E121" i="98" l="1"/>
  <c r="E122" i="101"/>
  <c r="E127" i="97"/>
  <c r="G123" i="82"/>
  <c r="G127" i="82" s="1"/>
  <c r="G124" i="82" s="1"/>
  <c r="G132" i="82" s="1"/>
  <c r="H123" i="82"/>
  <c r="H127" i="82" s="1"/>
  <c r="H124" i="82" s="1"/>
  <c r="H132" i="82" s="1"/>
  <c r="F123" i="82"/>
  <c r="F127" i="82" s="1"/>
  <c r="F124" i="82" s="1"/>
  <c r="F130" i="82" s="1"/>
  <c r="E123" i="82"/>
  <c r="E127" i="82" s="1"/>
  <c r="E124" i="82" s="1"/>
  <c r="E129" i="82" s="1"/>
  <c r="E127" i="100"/>
  <c r="E123" i="99"/>
  <c r="E126" i="101" l="1"/>
  <c r="E123" i="101" s="1"/>
  <c r="E124" i="97"/>
  <c r="E125" i="98"/>
  <c r="E122" i="98" s="1"/>
  <c r="E124" i="100"/>
  <c r="E132" i="100" s="1"/>
  <c r="E127" i="99"/>
  <c r="E124" i="99" s="1"/>
  <c r="E132" i="99" s="1"/>
  <c r="F131" i="82"/>
  <c r="F132" i="82"/>
  <c r="H130" i="82"/>
  <c r="H129" i="82"/>
  <c r="H131" i="82"/>
  <c r="F129" i="82"/>
  <c r="G131" i="82"/>
  <c r="G129" i="82"/>
  <c r="G130" i="82"/>
  <c r="E131" i="82"/>
  <c r="E130" i="82"/>
  <c r="E132" i="82"/>
  <c r="E134" i="82" l="1"/>
  <c r="E145" i="82" s="1"/>
  <c r="G134" i="82"/>
  <c r="G145" i="82" s="1"/>
  <c r="G146" i="82" s="1"/>
  <c r="E129" i="100"/>
  <c r="E129" i="99"/>
  <c r="E131" i="100"/>
  <c r="E130" i="100"/>
  <c r="E131" i="99"/>
  <c r="E130" i="99"/>
  <c r="E129" i="97"/>
  <c r="E131" i="97"/>
  <c r="E130" i="97"/>
  <c r="E132" i="97"/>
  <c r="E130" i="98"/>
  <c r="E127" i="98"/>
  <c r="E128" i="98"/>
  <c r="E129" i="98"/>
  <c r="E131" i="101"/>
  <c r="E130" i="101"/>
  <c r="E128" i="101"/>
  <c r="E129" i="101"/>
  <c r="H134" i="82"/>
  <c r="H145" i="82" s="1"/>
  <c r="H146" i="82" s="1"/>
  <c r="F134" i="82"/>
  <c r="F145" i="82" s="1"/>
  <c r="F146" i="82" s="1"/>
  <c r="J18" i="76" l="1"/>
  <c r="K18" i="76" s="1"/>
  <c r="E52" i="118" s="1"/>
  <c r="F52" i="118" s="1"/>
  <c r="J20" i="76"/>
  <c r="K20" i="76" s="1"/>
  <c r="J19" i="76"/>
  <c r="K19" i="76" s="1"/>
  <c r="L19" i="76" s="1"/>
  <c r="E134" i="99"/>
  <c r="E145" i="99" s="1"/>
  <c r="E146" i="99" s="1"/>
  <c r="E134" i="100"/>
  <c r="E146" i="100" s="1"/>
  <c r="E147" i="100" s="1"/>
  <c r="E133" i="101"/>
  <c r="E144" i="101" s="1"/>
  <c r="E145" i="101" s="1"/>
  <c r="E132" i="98"/>
  <c r="E144" i="98" s="1"/>
  <c r="E145" i="98" s="1"/>
  <c r="E134" i="97"/>
  <c r="E146" i="97" s="1"/>
  <c r="E147" i="97" s="1"/>
  <c r="E146" i="82"/>
  <c r="J30" i="76" l="1"/>
  <c r="K30" i="76" s="1"/>
  <c r="J21" i="76"/>
  <c r="K21" i="76" s="1"/>
  <c r="J26" i="76"/>
  <c r="K26" i="76" s="1"/>
  <c r="L18" i="76"/>
  <c r="E53" i="118"/>
  <c r="F53" i="118" s="1"/>
  <c r="E36" i="118"/>
  <c r="F36" i="118" s="1"/>
  <c r="E42" i="118"/>
  <c r="F42" i="118" s="1"/>
  <c r="J17" i="76"/>
  <c r="K17" i="76" s="1"/>
  <c r="J28" i="76"/>
  <c r="K28" i="76" s="1"/>
  <c r="J23" i="76"/>
  <c r="K23" i="76" s="1"/>
  <c r="G10" i="118"/>
  <c r="H10" i="118" s="1"/>
  <c r="E207" i="118"/>
  <c r="F207" i="118" s="1"/>
  <c r="G15" i="118"/>
  <c r="H15" i="118" s="1"/>
  <c r="G26" i="118"/>
  <c r="H26" i="118" s="1"/>
  <c r="G22" i="118"/>
  <c r="H22" i="118" s="1"/>
  <c r="G12" i="118"/>
  <c r="H12" i="118" s="1"/>
  <c r="G21" i="118"/>
  <c r="H21" i="118" s="1"/>
  <c r="G27" i="118"/>
  <c r="H27" i="118" s="1"/>
  <c r="G18" i="118"/>
  <c r="H18" i="118" s="1"/>
  <c r="L20" i="76"/>
  <c r="G19" i="118"/>
  <c r="H19" i="118" s="1"/>
  <c r="G16" i="118"/>
  <c r="H16" i="118" s="1"/>
  <c r="G20" i="118"/>
  <c r="H20" i="118" s="1"/>
  <c r="G9" i="118"/>
  <c r="G11" i="118"/>
  <c r="H11" i="118" s="1"/>
  <c r="E148" i="118" l="1"/>
  <c r="F148" i="118" s="1"/>
  <c r="E152" i="118"/>
  <c r="F152" i="118" s="1"/>
  <c r="E56" i="118"/>
  <c r="E208" i="118"/>
  <c r="F208" i="118" s="1"/>
  <c r="E201" i="118"/>
  <c r="F201" i="118" s="1"/>
  <c r="E209" i="118"/>
  <c r="F209" i="118" s="1"/>
  <c r="E194" i="118"/>
  <c r="F194" i="118" s="1"/>
  <c r="E192" i="118"/>
  <c r="F192" i="118" s="1"/>
  <c r="L30" i="76"/>
  <c r="E198" i="118"/>
  <c r="F198" i="118" s="1"/>
  <c r="L21" i="76"/>
  <c r="E78" i="118"/>
  <c r="F78" i="118" s="1"/>
  <c r="E62" i="118"/>
  <c r="F62" i="118" s="1"/>
  <c r="E74" i="118"/>
  <c r="F74" i="118" s="1"/>
  <c r="E79" i="118"/>
  <c r="F79" i="118" s="1"/>
  <c r="E67" i="118"/>
  <c r="F67" i="118" s="1"/>
  <c r="E72" i="118"/>
  <c r="F72" i="118" s="1"/>
  <c r="E68" i="118"/>
  <c r="F68" i="118" s="1"/>
  <c r="E73" i="118"/>
  <c r="F73" i="118" s="1"/>
  <c r="E71" i="118"/>
  <c r="F71" i="118" s="1"/>
  <c r="E70" i="118"/>
  <c r="F70" i="118" s="1"/>
  <c r="E151" i="118"/>
  <c r="F151" i="118" s="1"/>
  <c r="E156" i="118"/>
  <c r="F156" i="118" s="1"/>
  <c r="E150" i="118"/>
  <c r="F150" i="118" s="1"/>
  <c r="E153" i="118"/>
  <c r="F153" i="118" s="1"/>
  <c r="E145" i="118"/>
  <c r="F145" i="118" s="1"/>
  <c r="E146" i="118"/>
  <c r="F146" i="118" s="1"/>
  <c r="E149" i="118"/>
  <c r="F149" i="118" s="1"/>
  <c r="E140" i="118"/>
  <c r="F140" i="118" s="1"/>
  <c r="E157" i="118"/>
  <c r="F157" i="118" s="1"/>
  <c r="E159" i="118"/>
  <c r="F159" i="118" s="1"/>
  <c r="L26" i="76"/>
  <c r="E183" i="118"/>
  <c r="F183" i="118" s="1"/>
  <c r="L28" i="76"/>
  <c r="E174" i="118"/>
  <c r="F174" i="118" s="1"/>
  <c r="E165" i="118"/>
  <c r="F165" i="118" s="1"/>
  <c r="E182" i="118"/>
  <c r="F182" i="118" s="1"/>
  <c r="E166" i="118"/>
  <c r="F166" i="118" s="1"/>
  <c r="E168" i="118"/>
  <c r="F168" i="118" s="1"/>
  <c r="E171" i="118"/>
  <c r="F171" i="118" s="1"/>
  <c r="E172" i="118"/>
  <c r="F172" i="118" s="1"/>
  <c r="E181" i="118"/>
  <c r="F181" i="118" s="1"/>
  <c r="E99" i="118"/>
  <c r="F99" i="118" s="1"/>
  <c r="E96" i="118"/>
  <c r="F96" i="118" s="1"/>
  <c r="E93" i="118"/>
  <c r="F93" i="118" s="1"/>
  <c r="E90" i="118"/>
  <c r="F90" i="118" s="1"/>
  <c r="E98" i="118"/>
  <c r="F98" i="118" s="1"/>
  <c r="E88" i="118"/>
  <c r="F88" i="118" s="1"/>
  <c r="L23" i="76"/>
  <c r="E89" i="118"/>
  <c r="F89" i="118" s="1"/>
  <c r="E104" i="118"/>
  <c r="F104" i="118" s="1"/>
  <c r="E105" i="118"/>
  <c r="F105" i="118" s="1"/>
  <c r="E100" i="118"/>
  <c r="F100" i="118" s="1"/>
  <c r="K11" i="76"/>
  <c r="E97" i="118"/>
  <c r="F97" i="118" s="1"/>
  <c r="E94" i="118"/>
  <c r="F94" i="118" s="1"/>
  <c r="E101" i="118"/>
  <c r="F101" i="118" s="1"/>
  <c r="E19" i="118"/>
  <c r="F19" i="118" s="1"/>
  <c r="J19" i="118" s="1"/>
  <c r="G30" i="118"/>
  <c r="H9" i="118"/>
  <c r="E9" i="118"/>
  <c r="E18" i="118"/>
  <c r="F18" i="118" s="1"/>
  <c r="J18" i="118" s="1"/>
  <c r="E21" i="118"/>
  <c r="F21" i="118" s="1"/>
  <c r="J21" i="118" s="1"/>
  <c r="E11" i="118"/>
  <c r="F11" i="118" s="1"/>
  <c r="J11" i="118" s="1"/>
  <c r="E16" i="118"/>
  <c r="F16" i="118" s="1"/>
  <c r="J16" i="118" s="1"/>
  <c r="L17" i="76"/>
  <c r="E27" i="118"/>
  <c r="F27" i="118" s="1"/>
  <c r="J27" i="118" s="1"/>
  <c r="E20" i="118"/>
  <c r="F20" i="118" s="1"/>
  <c r="J20" i="118" s="1"/>
  <c r="E22" i="118"/>
  <c r="F22" i="118" s="1"/>
  <c r="J22" i="118" s="1"/>
  <c r="E10" i="118"/>
  <c r="F10" i="118" s="1"/>
  <c r="J10" i="118" s="1"/>
  <c r="E15" i="118"/>
  <c r="F15" i="118" s="1"/>
  <c r="J15" i="118" s="1"/>
  <c r="E26" i="118"/>
  <c r="F26" i="118" s="1"/>
  <c r="J26" i="118" s="1"/>
  <c r="E12" i="118"/>
  <c r="F12" i="118" s="1"/>
  <c r="J12" i="118" s="1"/>
  <c r="E212" i="118" l="1"/>
  <c r="E82" i="118"/>
  <c r="E160" i="118"/>
  <c r="E186" i="118"/>
  <c r="E108" i="118"/>
  <c r="L11" i="76"/>
  <c r="I19" i="118"/>
  <c r="I9" i="118"/>
  <c r="E30" i="118"/>
  <c r="I12" i="118"/>
  <c r="I20" i="118"/>
  <c r="I15" i="118"/>
  <c r="I10" i="118"/>
  <c r="I18" i="118"/>
  <c r="I16" i="118"/>
  <c r="I11" i="118"/>
  <c r="I26" i="118"/>
  <c r="I27" i="118"/>
  <c r="I22" i="118"/>
  <c r="F9" i="118"/>
  <c r="J9" i="118" s="1"/>
  <c r="I21" i="118"/>
  <c r="I30" i="118" l="1"/>
  <c r="K32" i="76" l="1"/>
  <c r="L32" i="76" s="1"/>
  <c r="L33" i="76" s="1"/>
  <c r="K12" i="76" l="1"/>
  <c r="L12" i="76" l="1"/>
  <c r="L13" i="76" s="1"/>
</calcChain>
</file>

<file path=xl/sharedStrings.xml><?xml version="1.0" encoding="utf-8"?>
<sst xmlns="http://schemas.openxmlformats.org/spreadsheetml/2006/main" count="3231" uniqueCount="652">
  <si>
    <t>PROCESSO ADMINISTRATIVO SEI Nº 08385.000837/2025-50</t>
  </si>
  <si>
    <t xml:space="preserve">OBJETO:
</t>
  </si>
  <si>
    <t>Grupo</t>
  </si>
  <si>
    <t>Itens</t>
  </si>
  <si>
    <t>Descrição</t>
  </si>
  <si>
    <t>Local da Execução</t>
  </si>
  <si>
    <t>Cargo CBO</t>
  </si>
  <si>
    <t>Periculosidade</t>
  </si>
  <si>
    <t>Cumulação Copeira</t>
  </si>
  <si>
    <t>Quantidade Mensal</t>
  </si>
  <si>
    <t>PLANILHA ESTIMATIVA DE CUSTOS E FORMAÇÃO DE PREÇOS</t>
  </si>
  <si>
    <t>Produtividade</t>
  </si>
  <si>
    <t>1) Para definição da jornada de trabalho em horas no mês, utilizou-se o parâmetro adotado na IN nº 05/2017, com redação dada pela IN nº 07/2018, e após proporcionalizado para 40 horas semanais
IN 05/2017: 188,76 decorre do número de semanas no mês (30/7 = 4,29 semanas) multiplicado pelo número de horas semanais (jornada 44 horas semanais); 4,29 x 44 = 188,76
Proporcional 40 horas: 171,60 decorre do número de semanas no mês (30/7 = 4,29 semanas) multiplicado pelo número de horas semanais (jornada 40 horas semanais); 4,29 x 40 = 171,60</t>
  </si>
  <si>
    <t xml:space="preserve">4) As produtividades de Referência da IN nº 05/2017 consideram a jornada de 44h semanais, considerando que as últimas contratações da SR/PF/PR foram formalizadas para 40h semanais, verifica-se oportuno considerar a produtividade de referência da IN de forma proporcionalizada (redução de 10%)
</t>
  </si>
  <si>
    <t>Referência</t>
  </si>
  <si>
    <t>IN 05/2017 - 44h</t>
  </si>
  <si>
    <t>IN 05/2017 - 40h</t>
  </si>
  <si>
    <t>Áreas Internas</t>
  </si>
  <si>
    <t>Máxima</t>
  </si>
  <si>
    <t>Mínima</t>
  </si>
  <si>
    <t>Pisos Acarpetados</t>
  </si>
  <si>
    <t>Pisos Frios</t>
  </si>
  <si>
    <t>Laboratórios</t>
  </si>
  <si>
    <t>Almoxarifados/galpões</t>
  </si>
  <si>
    <t>Oficinas</t>
  </si>
  <si>
    <t>Áreas com espaços livres - saguão, hall e salão</t>
  </si>
  <si>
    <t>Banheiros</t>
  </si>
  <si>
    <t>Áreas Externas</t>
  </si>
  <si>
    <t>Pisos pavimentados adjacentes/contíguos às edificações</t>
  </si>
  <si>
    <t>Varrição de passeios e arruamentos</t>
  </si>
  <si>
    <t>Pátios e áreas verdes com alta frequência</t>
  </si>
  <si>
    <t>Pátios e áreas verdes com média frequência</t>
  </si>
  <si>
    <t>Pátios e áreas verdes com baixa frequência</t>
  </si>
  <si>
    <t>coleta de detritos em pátios e áreas verdes com frequência diária</t>
  </si>
  <si>
    <t>Esquadrias Externas</t>
  </si>
  <si>
    <t>face externa com exposição a situação de risco</t>
  </si>
  <si>
    <t>face externa sem exposição a situação de risco</t>
  </si>
  <si>
    <t>face interna</t>
  </si>
  <si>
    <t>Fachadas Envidraçadas</t>
  </si>
  <si>
    <t>Áreas Hospitalares e assemelhadas</t>
  </si>
  <si>
    <t>6) Para o posto de Encarregado foi observado a produtividade da IN 05/2017.</t>
  </si>
  <si>
    <t>Equipamentos</t>
  </si>
  <si>
    <t>Submódulo 2.1 - 13º (décimo terceiro) Salário, Férias e Adicional de Férias</t>
  </si>
  <si>
    <t>Submódulo 2.2 - Encargos Previdenciários (GPS), Fundo de Garantia por Tempo de Serviço (FGTS) e outras contribuições.</t>
  </si>
  <si>
    <t>Submódulo 2.3 - Benefícios Mensais e Diários.</t>
  </si>
  <si>
    <t>Módulo 3 - Provisão para Rescisão</t>
  </si>
  <si>
    <t>Módulo 4 - Custo de Reposição do Profissional Ausente</t>
  </si>
  <si>
    <t>Submódulo 4.1 - Ausências Legais</t>
  </si>
  <si>
    <t>Submódulo 4.2 - Intrajornada</t>
  </si>
  <si>
    <r>
      <rPr>
        <b/>
        <sz val="12"/>
        <color theme="1"/>
        <rFont val="Calibri"/>
        <family val="2"/>
        <scheme val="minor"/>
      </rPr>
      <t>1) Intrajornada:</t>
    </r>
    <r>
      <rPr>
        <sz val="12"/>
        <color theme="1"/>
        <rFont val="Calibri"/>
        <family val="2"/>
        <scheme val="minor"/>
      </rPr>
      <t xml:space="preserve"> Nesta contratação não haverá situação ensejadora de pagamento de intrajornada, considerando a escala de trabalho de 8h/dia</t>
    </r>
  </si>
  <si>
    <t>Módulo 5 - Insumos Diversos</t>
  </si>
  <si>
    <t>Módulo 6 - Custos Indiretos, Tributos e Lucro</t>
  </si>
  <si>
    <t>DADOS BÁSICOS</t>
  </si>
  <si>
    <t>Data da Convenção Coletiva de Referência:</t>
  </si>
  <si>
    <t>Data da Pesquisa de Preços Itens de Custo de Mercado:</t>
  </si>
  <si>
    <t>Data da Apresentação da Proposta:</t>
  </si>
  <si>
    <t>BENEFÍCIOS DA MÃO DE OBRA VINCULADA À EXECUÇÃO CONTRATUAL</t>
  </si>
  <si>
    <t>CUSTOS DE TRANSPORTE PÚBLICO</t>
  </si>
  <si>
    <t>Título Classificação Brasileira de Ocupações  (CBO)</t>
  </si>
  <si>
    <t>Servente de limpeza</t>
  </si>
  <si>
    <t>Copeira</t>
  </si>
  <si>
    <t>Encarregado</t>
  </si>
  <si>
    <t>Município</t>
  </si>
  <si>
    <t>Valor Unitário</t>
  </si>
  <si>
    <t>Quantidade por dia</t>
  </si>
  <si>
    <t>Nº de Dias/mês</t>
  </si>
  <si>
    <t>Valor Mensal</t>
  </si>
  <si>
    <t>Participação Funcionário</t>
  </si>
  <si>
    <t>Código CBO</t>
  </si>
  <si>
    <t>5143-20</t>
  </si>
  <si>
    <t>5134-25</t>
  </si>
  <si>
    <t xml:space="preserve">4101-05 </t>
  </si>
  <si>
    <t>Curitiba/PR</t>
  </si>
  <si>
    <t>Nº do Registro da Convenção Coletiva de Trabalho (CCT) no MTE</t>
  </si>
  <si>
    <t>PR000074/2025</t>
  </si>
  <si>
    <t>Guarapuava/PR</t>
  </si>
  <si>
    <t>Data-base da Categoria</t>
  </si>
  <si>
    <t>Cláusula 1ª CCT</t>
  </si>
  <si>
    <t>Londrina/PR</t>
  </si>
  <si>
    <t>Salário Normativo (44 horas)</t>
  </si>
  <si>
    <t>Cláusula 2ª CCT</t>
  </si>
  <si>
    <t>Maringá/PR</t>
  </si>
  <si>
    <t>Jornada Semanal de Trabalho (Horas)</t>
  </si>
  <si>
    <t>Paranaguá/PR</t>
  </si>
  <si>
    <t>Ponta Grossa/PR</t>
  </si>
  <si>
    <t>Adicional de Cumulação de Função Copeira (44 horas)</t>
  </si>
  <si>
    <t>Cláusula 2ª, 02.01, CCT</t>
  </si>
  <si>
    <t>Vale Alimentação</t>
  </si>
  <si>
    <t xml:space="preserve">Cláusula 13ª CCT </t>
  </si>
  <si>
    <t>Desconto Vale Alimentação PAT</t>
  </si>
  <si>
    <t>Cláusula 13ª, §1º, CCT</t>
  </si>
  <si>
    <t>Desconto do vale alimentação em caso de falta ao serviço
(por dia)</t>
  </si>
  <si>
    <t>Auxílio Saúde</t>
  </si>
  <si>
    <t>Cláusula 16ª, CCT</t>
  </si>
  <si>
    <t>Benefício Social Familiar</t>
  </si>
  <si>
    <t>Cláusula 17ª, CCT</t>
  </si>
  <si>
    <t>CUSTOS INDIRETOS</t>
  </si>
  <si>
    <t>Periculosidade Cumulação Copeira</t>
  </si>
  <si>
    <t>N/A</t>
  </si>
  <si>
    <t>LUCRO</t>
  </si>
  <si>
    <t>Periculosidade
Cumulação Copeira</t>
  </si>
  <si>
    <t>ALÍQUOTAS DE ISSQN</t>
  </si>
  <si>
    <t>Tipo de Serviço (mesmo serviço com características distintas)</t>
  </si>
  <si>
    <t>Limpeza, conservação e copeiragem</t>
  </si>
  <si>
    <t>Classificação Brasileira de Ocupações (CBO)</t>
  </si>
  <si>
    <t>Salário Normativo da Categoria Profissional</t>
  </si>
  <si>
    <t>Categoria Profissional (vinculada à execução contratual)</t>
  </si>
  <si>
    <t>Data-Base da Categoria (dia/mês)</t>
  </si>
  <si>
    <t>Local da prestação dos serviços</t>
  </si>
  <si>
    <t>SR/PF/PR (Curitiba - Santa Cândida e Hauer)</t>
  </si>
  <si>
    <t>GISE (Curitiba - Centro)</t>
  </si>
  <si>
    <t>SR/PF/PR (Curitiba - Santa Cândida)</t>
  </si>
  <si>
    <t xml:space="preserve">Número de registro da CCT no MTE </t>
  </si>
  <si>
    <t>Laudo de Periculosidade no local da prestação dos serviços</t>
  </si>
  <si>
    <t>SIM</t>
  </si>
  <si>
    <t>NÃO</t>
  </si>
  <si>
    <t>Cumulação de função (Copeira)</t>
  </si>
  <si>
    <t>Quantidade de Postos</t>
  </si>
  <si>
    <t>Módulo 1 - Composição da Remuneração</t>
  </si>
  <si>
    <t>Composição da Remuneração</t>
  </si>
  <si>
    <t>Valor (R$)</t>
  </si>
  <si>
    <t>A</t>
  </si>
  <si>
    <t>B</t>
  </si>
  <si>
    <t>Adicional de Periculosidade</t>
  </si>
  <si>
    <t>C</t>
  </si>
  <si>
    <t>Adicional de Insalubridade</t>
  </si>
  <si>
    <t>D</t>
  </si>
  <si>
    <t>Adicional Noturno</t>
  </si>
  <si>
    <t>E</t>
  </si>
  <si>
    <t>Adicional de Hora Noturno Reduzida</t>
  </si>
  <si>
    <t>F</t>
  </si>
  <si>
    <t>Adicional de Hora Extra no Feriado Trabalhado</t>
  </si>
  <si>
    <t>G</t>
  </si>
  <si>
    <t>Adicional de Cumulação de Função de Copeira Proporcional Jornada de Trabalho</t>
  </si>
  <si>
    <t>H</t>
  </si>
  <si>
    <t>Outros (especificar)</t>
  </si>
  <si>
    <t>Total</t>
  </si>
  <si>
    <t>Módulo 2 - Encargos e Benefícios Anuais, Mensais e Diários</t>
  </si>
  <si>
    <t>2.1</t>
  </si>
  <si>
    <t>13º (décimo terceiro) Salário, Férias e Adicional de Férias</t>
  </si>
  <si>
    <t>Percentual (%)</t>
  </si>
  <si>
    <t>13º (décimo terceiro) Salário</t>
  </si>
  <si>
    <t>Férias e Adicional de Férias</t>
  </si>
  <si>
    <t>TOTAL</t>
  </si>
  <si>
    <r>
      <t xml:space="preserve">Base de cálculo deste submódulo </t>
    </r>
    <r>
      <rPr>
        <sz val="12"/>
        <rFont val="Calibri"/>
        <family val="2"/>
        <scheme val="minor"/>
      </rPr>
      <t>(M1+M2.1)</t>
    </r>
    <r>
      <rPr>
        <b/>
        <sz val="12"/>
        <rFont val="Calibri"/>
        <family val="2"/>
        <scheme val="minor"/>
      </rPr>
      <t>:</t>
    </r>
  </si>
  <si>
    <t>2.2</t>
  </si>
  <si>
    <t>GPS, FGTS e outras contribuições</t>
  </si>
  <si>
    <t>INSS - empregador</t>
  </si>
  <si>
    <t>Salário Educação</t>
  </si>
  <si>
    <t>SAT - GIIL/RAT</t>
  </si>
  <si>
    <t>SESC ou SESI</t>
  </si>
  <si>
    <t>SENAI - SENAC</t>
  </si>
  <si>
    <t>SEBRAE</t>
  </si>
  <si>
    <t>INCRA</t>
  </si>
  <si>
    <t>FGTS</t>
  </si>
  <si>
    <t xml:space="preserve">Total </t>
  </si>
  <si>
    <t>2.3</t>
  </si>
  <si>
    <t>Benefícios Mensais e Diários</t>
  </si>
  <si>
    <t xml:space="preserve">Transporte </t>
  </si>
  <si>
    <t>Auxílio Alimentação</t>
  </si>
  <si>
    <t>Seguro de Vida</t>
  </si>
  <si>
    <t>Outros Benefícios Mensais e Diários (Especificar)</t>
  </si>
  <si>
    <t>Quadro-Resumo do Módulo 2 - Encargos e Benefícios anuais, mensais e diários</t>
  </si>
  <si>
    <t>Encargos e Benefícios Anuais, Mensais e Diários</t>
  </si>
  <si>
    <r>
      <t xml:space="preserve">Base de cálculo do AP Indenizado </t>
    </r>
    <r>
      <rPr>
        <sz val="12"/>
        <rFont val="Calibri"/>
        <family val="2"/>
        <scheme val="minor"/>
      </rPr>
      <t>((M1+M2)-(Letras A+B+C+D+E+F+G do SM2.2))</t>
    </r>
    <r>
      <rPr>
        <b/>
        <sz val="12"/>
        <rFont val="Calibri"/>
        <family val="2"/>
        <scheme val="minor"/>
      </rPr>
      <t>:</t>
    </r>
  </si>
  <si>
    <r>
      <t xml:space="preserve">Base de cálculo do AP Trabalho </t>
    </r>
    <r>
      <rPr>
        <sz val="12"/>
        <rFont val="Calibri"/>
        <family val="2"/>
        <scheme val="minor"/>
      </rPr>
      <t>(M1+M2)</t>
    </r>
    <r>
      <rPr>
        <b/>
        <sz val="12"/>
        <rFont val="Calibri"/>
        <family val="2"/>
        <scheme val="minor"/>
      </rPr>
      <t>:</t>
    </r>
  </si>
  <si>
    <t>Provisão para Rescisão</t>
  </si>
  <si>
    <t>%</t>
  </si>
  <si>
    <t>Aviso Prévio Indenizado</t>
  </si>
  <si>
    <t>Incidência do FGTS sobre o Aviso Prévio Indenizado</t>
  </si>
  <si>
    <t>Multa do FGTS sobre o Aviso Prévio Indenizado</t>
  </si>
  <si>
    <t>Aviso Prévio Trabalhado</t>
  </si>
  <si>
    <t>Incidência de GPS, FGTS e sobre o Aviso Prévio Trabalhado</t>
  </si>
  <si>
    <t>Multa do FGTS sobre o Aviso Prévio Trabalhado</t>
  </si>
  <si>
    <r>
      <t xml:space="preserve">Base de cálculo das Ausências Legais </t>
    </r>
    <r>
      <rPr>
        <sz val="12"/>
        <rFont val="Calibri"/>
        <family val="2"/>
        <scheme val="minor"/>
      </rPr>
      <t>(M1+M2+M3)</t>
    </r>
    <r>
      <rPr>
        <b/>
        <sz val="12"/>
        <rFont val="Calibri"/>
        <family val="2"/>
        <scheme val="minor"/>
      </rPr>
      <t>:</t>
    </r>
  </si>
  <si>
    <t>4.1</t>
  </si>
  <si>
    <t>Ausências Legais</t>
  </si>
  <si>
    <t>Percentual</t>
  </si>
  <si>
    <t>Substituto na cobertura de Férias</t>
  </si>
  <si>
    <t>Substituto na cobertura de Ausências Legais</t>
  </si>
  <si>
    <t>Substituto na cobertura Ausência Acidente de Trabalho</t>
  </si>
  <si>
    <t>Substituto na cobertura de Licença-Paternidade</t>
  </si>
  <si>
    <t>Substituto na Cobertura de Afastamento Maternidade</t>
  </si>
  <si>
    <t>Substituto na cobertura de Doença</t>
  </si>
  <si>
    <t>Substituto em outras ausências (especificar)</t>
  </si>
  <si>
    <t>Total Mensal</t>
  </si>
  <si>
    <t>Base de cálculo da Intrajornada (M1+M2+M3):</t>
  </si>
  <si>
    <t>4.2</t>
  </si>
  <si>
    <t>Intrajornada</t>
  </si>
  <si>
    <t>Substituto na cobertura de Intervalo para repouso ou alimentação</t>
  </si>
  <si>
    <t>Quadro-Resumo do Módulo 4 - Custo de Reposição do Profissional Ausente</t>
  </si>
  <si>
    <t>Custo de Reposição do Profissional Ausente</t>
  </si>
  <si>
    <t xml:space="preserve">Substituto nas Ausências Legais </t>
  </si>
  <si>
    <t>Substituto na Intrajornada</t>
  </si>
  <si>
    <t>Insumos Diversos</t>
  </si>
  <si>
    <t>Uniformes</t>
  </si>
  <si>
    <t>Utensílios</t>
  </si>
  <si>
    <t>Insumos</t>
  </si>
  <si>
    <t>Outros (Especificar)</t>
  </si>
  <si>
    <r>
      <t xml:space="preserve">Base de cálculo dos custos indiretos </t>
    </r>
    <r>
      <rPr>
        <sz val="11"/>
        <rFont val="Calibri"/>
        <family val="2"/>
        <scheme val="minor"/>
      </rPr>
      <t>(BCCI = M1+M2+M3+M4+M5)</t>
    </r>
  </si>
  <si>
    <r>
      <t xml:space="preserve">Base de cálculo do lucro </t>
    </r>
    <r>
      <rPr>
        <sz val="10"/>
        <rFont val="Calibri"/>
        <family val="2"/>
        <scheme val="minor"/>
      </rPr>
      <t>(BCL = BCCI+Custos Indiretos)</t>
    </r>
  </si>
  <si>
    <r>
      <t>Base de cálculo dos tributos</t>
    </r>
    <r>
      <rPr>
        <sz val="12"/>
        <rFont val="Calibri"/>
        <family val="2"/>
        <scheme val="minor"/>
      </rPr>
      <t xml:space="preserve"> </t>
    </r>
    <r>
      <rPr>
        <sz val="10"/>
        <rFont val="Calibri"/>
        <family val="2"/>
        <scheme val="minor"/>
      </rPr>
      <t>(BCT = (BCL+Lucro)/((1-(Somatório da % de tributos)))</t>
    </r>
  </si>
  <si>
    <t>Custos Indiretos, Tributos e Lucro</t>
  </si>
  <si>
    <t>Custos Indiretos</t>
  </si>
  <si>
    <t>Lucro antes do Imposto de Renda (IR)</t>
  </si>
  <si>
    <t>Tributos</t>
  </si>
  <si>
    <t>C.1. Tributos Federais (COFINS)</t>
  </si>
  <si>
    <t>C.2. Tributos Federais (PIS)</t>
  </si>
  <si>
    <t>C.3. Tributos Estaduais (especificar)</t>
  </si>
  <si>
    <t>C.4. Tributos Municipais (ISS)</t>
  </si>
  <si>
    <t>C.5. INSS (somente empresas beneficiadas com desoneração da folha: 4,5%)</t>
  </si>
  <si>
    <t>2. QUADRO-RESUMO DO CUSTO POR EMPREGADO</t>
  </si>
  <si>
    <t>Mão de obra vinculada à execução contratual (valor por empregado)</t>
  </si>
  <si>
    <t>Subtotal (A + B + C + D + E)</t>
  </si>
  <si>
    <t>Módulo 6 – Custos Indiretos, Tributos e Lucro</t>
  </si>
  <si>
    <t xml:space="preserve">Valor Total por Empregado </t>
  </si>
  <si>
    <t>DPF/GPB/PR (Guarapuava)</t>
  </si>
  <si>
    <t xml:space="preserve">DPF/LDA/PR (Londrina - Vila Nova) </t>
  </si>
  <si>
    <t>GISE (Londrina - Centro)</t>
  </si>
  <si>
    <t xml:space="preserve">Equipamentos </t>
  </si>
  <si>
    <t>Subtotal (A + B +C+ D+E)</t>
  </si>
  <si>
    <t>DPF/MGA/PR (Maringá)</t>
  </si>
  <si>
    <t>DPF/PNG/PR (Paranaguá - Delegacia e NEPOM)</t>
  </si>
  <si>
    <t>DPF/PGZ/PR (Ponta Grossa - TRT)</t>
  </si>
  <si>
    <t>UNIFORME - SERVENTE DE LIMPEZA E ENCARREGADO</t>
  </si>
  <si>
    <t>Item</t>
  </si>
  <si>
    <t>Descrição/Especificação</t>
  </si>
  <si>
    <t>Qte para 12 meses
(A)</t>
  </si>
  <si>
    <t>Valor unitário
(B)</t>
  </si>
  <si>
    <t>Valor Anual
(C=A*B)</t>
  </si>
  <si>
    <t>Valor Mensal
(D=C/12)</t>
  </si>
  <si>
    <t>Camisa em malha - manga longa</t>
  </si>
  <si>
    <t>Camisa em malha - manga curta</t>
  </si>
  <si>
    <t>Calças com elástico</t>
  </si>
  <si>
    <t>Jaqueta de Inverno</t>
  </si>
  <si>
    <t>Cinto</t>
  </si>
  <si>
    <t>Pares de Meia</t>
  </si>
  <si>
    <t>Botina apropriada</t>
  </si>
  <si>
    <t>Aventais de Proteção Resistente</t>
  </si>
  <si>
    <t>VALOR MENSAL POR FUNCIONÁRIO</t>
  </si>
  <si>
    <t>UNIFORME - COPEIRA</t>
  </si>
  <si>
    <t>Botina / Sapato apropriado</t>
  </si>
  <si>
    <t>Avental de tecido</t>
  </si>
  <si>
    <t>Touca de Filó com abas</t>
  </si>
  <si>
    <t>EQUIPAMENTOS</t>
  </si>
  <si>
    <t>QUANTIDADES ESTIMADAS</t>
  </si>
  <si>
    <t>DEPRECIAÇÃO MESES</t>
  </si>
  <si>
    <t>VALORES TOTAIS DEPRECIADOS POR ANO</t>
  </si>
  <si>
    <t>ITEM</t>
  </si>
  <si>
    <t>ESPECIFICAÇÃO</t>
  </si>
  <si>
    <t>UNIDADE DE MEDIDA</t>
  </si>
  <si>
    <t>CURITIBA</t>
  </si>
  <si>
    <t>GUARAPUAVA</t>
  </si>
  <si>
    <t>LONDRINA</t>
  </si>
  <si>
    <t>MARINGÁ</t>
  </si>
  <si>
    <t>PARANAGUÁ</t>
  </si>
  <si>
    <t>PONTA GROSSA</t>
  </si>
  <si>
    <t>SEDE E HAUER</t>
  </si>
  <si>
    <t>GISE</t>
  </si>
  <si>
    <t>SEDE</t>
  </si>
  <si>
    <t>SEDE E NEPOM</t>
  </si>
  <si>
    <t>Aspirador de pó e líquido Industrial 2.400watts, 75 Litros, 110/220v, antirruído. (Voltagem conforme necessidade da Delegacia) ou modelo superior</t>
  </si>
  <si>
    <t>ASPIRADOR DE PÓ</t>
  </si>
  <si>
    <t>Unidade</t>
  </si>
  <si>
    <t>Carrinho Multiuso de aço Inox para servir café, 3 (três) prateleiras retangular, prateleiras reforçadas. Medidas mínimas: Larg: 40cm, Comp: 80cm</t>
  </si>
  <si>
    <t>CARRO COPA</t>
  </si>
  <si>
    <t>Carro funcional de limpeza, Med. 116cmx57cmx100cm, Preto. Referência: Bralimpia, Bettanin, Artplastic ou de qualidade superior.</t>
  </si>
  <si>
    <t>CARRO LIMPEZA</t>
  </si>
  <si>
    <t>Carro Coletor de lixo com rodas, em plástico, 120L, Preto com tampa. Med. 98x48x55. Referência: JSN, Arqplast, Bralimpia ou de qualidade superior.</t>
  </si>
  <si>
    <t>CARRO LIXO</t>
  </si>
  <si>
    <t>Enceradeira industrial CL 500 export Sales Cleaner HP 1, 110/220v (CONFORME NECESSIDADE DELEGACIA);</t>
  </si>
  <si>
    <t>ENCERADEIRA</t>
  </si>
  <si>
    <t>Escada de abrir (em V), em alumínio, 5 degraus, pés antiderrapantes, sapatas de borracha. Referência: Tramontina, Botafogo, Vonder ou de qualidade superior.</t>
  </si>
  <si>
    <t>ESCADADA 5 DEGRAUS</t>
  </si>
  <si>
    <t>Escada de abrir (em V), em alumínio, 9 degraus, pés antiderrapantes, sapatas de borracha. Referência: Tramontina, Botafogo, Vonder ou de qualidade superior</t>
  </si>
  <si>
    <t>ESCADA 9 DEGRAUS</t>
  </si>
  <si>
    <t>Lavadora Extratora Profissional, 50L, 2400w, antirruído, ou modelo superior.</t>
  </si>
  <si>
    <t>EXTRATORA</t>
  </si>
  <si>
    <t>Lavadora de Alta Pressão - Tensão: 127/220V (CONFORME NECESSIDADE DELEGACIA); Potência: 1500/2200w, Pressão Máxima: 1650/2000 psi, Vazão Máxima: 420/500 L/h, ou modelo superior.</t>
  </si>
  <si>
    <t>LAVADORA ALTA PRESSÃO</t>
  </si>
  <si>
    <t>Relógio de Ponto Jornada de Trabalho (Adequado à Portaria 1.510 do TEM), otimizado para conexões remotas, Gerenciamento do Controle de Ponto dos funcionários a distância, impressão térmica com guilhotina, compatível com bobinas de 300 metros.</t>
  </si>
  <si>
    <t>RELÓGIO PONTO</t>
  </si>
  <si>
    <t>(B) VALOR TOTAL ANUAL PARA FINS DE MANUTENÇÃO DOS EQUIPAMENTOS</t>
  </si>
  <si>
    <t>(C) QUANTIDADES DE FUNCIONÁRIOS POR LOCALIDADE</t>
  </si>
  <si>
    <t>(D = (A+B)/C/12)  CUSTO MENSAL DOS EQUIPAMENTOS A SER CONSIDERADO NA PLANILHA DE CADA POSTO DE TRABALHO</t>
  </si>
  <si>
    <t>QUANTIDADES ANUAIS ESTIMADAS</t>
  </si>
  <si>
    <t>VALOR UNITÁRIO ESTIMADO</t>
  </si>
  <si>
    <t>Balde em material plástico Redondo, polietileno de alta densidade e resistência a impacto, paredes e fundo reforçados, alça de metal, reforço no encaixe da alça, cor preta, capacidade 12 litros ou de maior capacidade. Referência: Vulcan, Tramontina, Plasmatic, Sanremo ou de qualidade superior.</t>
  </si>
  <si>
    <t>BALDE 12L</t>
  </si>
  <si>
    <t>Balde em material plástico Oval, polietileno de alta densidade, alta resistência a impacto, paredes e fundo reforçados, reforço no encaixe da alça, cor preta, capacidade 14 litros. Preto, REDONDO. Referência: Vulcan, Tramontina, Plasmatic, Sanremo ou de qualidade superior.</t>
  </si>
  <si>
    <t>BALDE 14L</t>
  </si>
  <si>
    <t>BORRIFADOR</t>
  </si>
  <si>
    <t>Desentupidor de Pia, feito em polipropileno e borracha. Aprox. 18cm x11,5cm, x 11,5cm. Referência: Noviça, Sanremo, Tramontina ou de qualidade superior.</t>
  </si>
  <si>
    <t>DESENTUPIDOR PIA</t>
  </si>
  <si>
    <t>Desentupidor de Vaso Sanitário, manual, tipo bomba. Referência: Bettanin, Vonder ou de qualidade superior.</t>
  </si>
  <si>
    <t>DESENTUPIDOR VASO</t>
  </si>
  <si>
    <t>Enxada em aço carbono, Alt.: 18,9cm, Larg.: 18.5 cm, Comp. 1,30 cm ou superior com cabo de madeira. Referência: Tramontina, Collins, Vonder ou de qualidade superior.</t>
  </si>
  <si>
    <t>ENXADA</t>
  </si>
  <si>
    <t>Esfregadeira para tanque de lavar roupas</t>
  </si>
  <si>
    <t>ESFREGADEIRA</t>
  </si>
  <si>
    <t>Esguicho Tradicional, tipo pistola, de metal para mangueira de jardim 1/2 Alta Pressão. Refereência: Tramontina, Vonder, Garden ou de qualidade superior</t>
  </si>
  <si>
    <t>Espanador para pó, de microfibras, com cabo extensor mínimo de 40 cm, torneado e reforçado. Referência: Bralimpia, Perfect, tramontina ou de qualidade superior.</t>
  </si>
  <si>
    <t>ESPANADOR</t>
  </si>
  <si>
    <t>FACÃO</t>
  </si>
  <si>
    <t>FUNIL</t>
  </si>
  <si>
    <t>LIMA ENXADA</t>
  </si>
  <si>
    <t>LIXEIRA</t>
  </si>
  <si>
    <t>Óculos de proteção EPI antirrisco Profissional. Referência: VOLK, Kalipso, Univest ou de qualidade superior.</t>
  </si>
  <si>
    <t>Pá coletora de lixo de plástico com cabo de 80 cm. Referência: Noviça, Tramontina, Plasútil</t>
  </si>
  <si>
    <t>Pá quadrada 10', com cabo Y de madeira, Dimensões: Alt. 24 cm x larg. 25 cm x Comp. 1 m Referência: Tramontina, Vonder, Vanga ou de qualidade superior.</t>
  </si>
  <si>
    <t>Rodo de espuma, 40 cm de largura, com cabo em madeira de 1,5m, limpa parede, Box e vidro. Referência: Tramontina, Noviça, Bettanin ou de qualidade superior.</t>
  </si>
  <si>
    <t>RODO ESPUMA</t>
  </si>
  <si>
    <t>Vassoura de pêlo/plumada com 40 cm de largura, com cabo de madeira de 1,50mt. Referência: Condor, Bettanin, Odim ou de qualidade superior.</t>
  </si>
  <si>
    <t>Vassoura de Piaçava, com 40 cm de largura, com cabo de madeira de 1,50mt. Referância: Odin, Condor, Bettanin ou de qualidade superior.</t>
  </si>
  <si>
    <t>Vassourão de palha, com cabo de madeira de 1,50mt. Referência: Condor, Bettanin, Nylon ou de qualidade superior.</t>
  </si>
  <si>
    <t>Vassoura de teto com cabo extensor 3m</t>
  </si>
  <si>
    <t>AÇUCAREIRO</t>
  </si>
  <si>
    <t>BANDEJA</t>
  </si>
  <si>
    <t>COADOR</t>
  </si>
  <si>
    <t>Colher grande 30 cm ou superior de Inox. Referência: Tramontina, Brinox, Fratelli.</t>
  </si>
  <si>
    <t>COLHER GRANDE</t>
  </si>
  <si>
    <t>Copos vidro liso para água, suco ou leite (300ml) ou superior. Referância: Nadir, Majestic, triângulo ou de qualidade
superior.</t>
  </si>
  <si>
    <t>Descansa Copo (Porta) de Inox. Referância: Tramontina, Brinox, Forma Inox ou de qualidade superior</t>
  </si>
  <si>
    <t>DESCANSO COPO</t>
  </si>
  <si>
    <t>Dispenser Porta copo de água, descartável, com botão de acionamento, capacidade para 100 copos, na cor Branca. Referência: Multicopo Nobre ou de qualidade superior.</t>
  </si>
  <si>
    <t>DISPENSER COPO ÁGUA</t>
  </si>
  <si>
    <t>Dispenser Porta corpo de café, descartável, com botão de acionamento, capacidade para 100 copos, na cor branca. Referência: Multicopos Nobre ou de qualidade superior.</t>
  </si>
  <si>
    <t>DISPENSER COPO CAFÉ</t>
  </si>
  <si>
    <t>Escova para lavagem de garrafa térmica. Referância: Top Útil, Sanremo, Plasmatic, Flash Limp.</t>
  </si>
  <si>
    <t>Garrafa térmica 1.8L, bomba de pressão, Inox, Inquebrável. Referência: Termolar, Soprano, Invicta ou de qualidade superior.</t>
  </si>
  <si>
    <t>GARRAFA TÉRMICA 1,8L</t>
  </si>
  <si>
    <t>Garrafa térmica 1L, bomba de pressão, Inox, Inquebrável. Referência: Termolar, Soprano, Invicta ou de qualidade superior.</t>
  </si>
  <si>
    <t>GARRAFA TÉRMICA 1L</t>
  </si>
  <si>
    <t>JARRA DE VIDRO</t>
  </si>
  <si>
    <t>Suporte para Coador de café, Alumínio, 40 cm ou superior. Referência: Vigor, São Jorge, Brinox ou de qualidade superior.</t>
  </si>
  <si>
    <t>Xícara para café com pires, porcelana, branco, 80ml ou superior. Referência: Oxford, Nadir, Schmidt ou de qualidade superior.</t>
  </si>
  <si>
    <t>(A) VALOR TOTAL ANUAL</t>
  </si>
  <si>
    <t>(B) QUANTIDADES DE FUNCIONÁRIOS POR LOCALIDADE</t>
  </si>
  <si>
    <t>(C = (A/B)/12)  CUSTO MENSAL DOS UTENSILIOS A SER CONSIDERADO NA PLANILHA DE CADA POSTO DE TRABALHO</t>
  </si>
  <si>
    <t>INSUMOS</t>
  </si>
  <si>
    <t>QUANTIDADES MENSAIS ESTIMADAS</t>
  </si>
  <si>
    <t>VALOR MENSAL ESTIMADO</t>
  </si>
  <si>
    <t>ÁGUA SANITÁRIA</t>
  </si>
  <si>
    <t>Galão de 5l</t>
  </si>
  <si>
    <t>ÁLCOOL 70</t>
  </si>
  <si>
    <t>Embalagem de 1l</t>
  </si>
  <si>
    <t>DESINFETANTE</t>
  </si>
  <si>
    <t>Detergente líquido para extratoras de estofados e carpetes - limpador concentrado de baixa espumação, PH entre 2.5 e 4.0, proporção de diluição entre 1:40 e 1:60 (1 litro de água para cada 25 ml de detergente ou 1 litro de água para 17ml de detergente). Referência: Ypê, Veja, Bombril ou de qualidade superior.</t>
  </si>
  <si>
    <t>DETERGENTE EXTRATORA</t>
  </si>
  <si>
    <t>Desodorizador de ambiente, apresentação aerosol, livre de CFC, com fragrância</t>
  </si>
  <si>
    <t>DESODORIZADOR</t>
  </si>
  <si>
    <t>Frasco 360ml</t>
  </si>
  <si>
    <t>Detergente líquido, concentrado, biodegradável, neutro, indicado para remoção de gorduras e sujidades em geral de pisos, paredes. Galão: 5 litros. Referância: Ypê</t>
  </si>
  <si>
    <t>DETERGENTE NEUTRO</t>
  </si>
  <si>
    <t>Detergente líquido, concentrado, biodegradável, neutro, acondicionado em frasco de 500 ml, indicado para remoção de gorduras e sujidades em geral de pisos, paredes e utensílios. Referência: Ypê, Veja.</t>
  </si>
  <si>
    <t>Frasco 500ml</t>
  </si>
  <si>
    <t>Escova para lavar roupa, plástico multiuso. Referênci: Noviça</t>
  </si>
  <si>
    <t>ESCOVA ROUPAS</t>
  </si>
  <si>
    <t>Esponja de lã de aço. Referência Bombril, Assolan ou de melhor qualidade. Embalagem: 3 unidades.</t>
  </si>
  <si>
    <t>ESPONJA AÇO</t>
  </si>
  <si>
    <t>Embalagem com 3 unidades</t>
  </si>
  <si>
    <t>Esponja sintética, dupla face, um lado em espuma poliuretano e outro em fibra sintética abrasiva, dimensões 100 x 70 x 20 mm, com variação de +/- 10 mm. Referência Scoth Brite, 3M ou de melhor qualidade. Referência: Scotch-Brite, Bombril, Assolan ou de melhor qualidade. Embalagem: 3 unidades</t>
  </si>
  <si>
    <t>ESPONJA DUPLA FACE</t>
  </si>
  <si>
    <t>Limpa alumínio, para a desoxidação e limpeza de janelas, portas, pisos, superfícies, barras, canos e outras peças em alumínio; apresentação líquida, isento de metais pesados. Ph 8,5 - 9,0, Solubilidade em água completa, odor leve. Referência: Magic Brilho, Aqualiv ou de qualidade superior. Frasco 500ml</t>
  </si>
  <si>
    <t>LIMPA ALUMINIO</t>
  </si>
  <si>
    <t>Loção limpa vidros, antiembaçante, fragrância suave. Galão 5 litros. Referência: Veja, Urca, Limpol ou de qualidade superior</t>
  </si>
  <si>
    <t>LIMPA VIDROS</t>
  </si>
  <si>
    <t>Limpador multi uso instantâneo, acondicionado em embalagem plástica de 500 ml com bico dosador, com 3 ações: limpa, desengordura e perfuma, nas fragrâncias floral, campestre, lavanda e laranja. Referência: Veja, Ypê, Cif ou de qualidade superior.</t>
  </si>
  <si>
    <t>LIMPADOR MULTIUSO</t>
  </si>
  <si>
    <t>Limpador Limpeza Pesada (Super Clean / Removex / similar). Embalagem de 5 litros.</t>
  </si>
  <si>
    <t>LIMPADOR PESADO</t>
  </si>
  <si>
    <t>Lustra móveis a base de silicone, repelente de umidade e poeira que permita um brilho seco, loção perfurmada. Frasco de 500 ml. Referência: Destac, Ypê, Bombril, Veja ou de qualidade superior</t>
  </si>
  <si>
    <t>LUSTRA MÓVEIS</t>
  </si>
  <si>
    <t>Luvas de látex natural, tamanho P, M, G, forrada, formato anatômico, palma antiderrapante, espessura 0,55 mm, cano longo. Embalagem: Par. Referência Scoth Brite, 3M ou de melhor qualidade.</t>
  </si>
  <si>
    <t>LUVAS</t>
  </si>
  <si>
    <t>Embalagem com 1 par</t>
  </si>
  <si>
    <t>Pano de chão, tipo saco, de algodão alvejado, 180g, alta absorção, limpeza de piso, tamanho mínimo: 50x90cm</t>
  </si>
  <si>
    <t>PANO DE CHÃO</t>
  </si>
  <si>
    <t>Pano de pia, super absorvente, 29x29, Referência: Scoth Brite ou de qualidade superior.</t>
  </si>
  <si>
    <t>PANO DE PIA</t>
  </si>
  <si>
    <t>PANO DE PRATO</t>
  </si>
  <si>
    <t>Flanela em tecido, 100% algodão, cor branca, medida mínima 38 x 58, com acabamento nas bordas, extra-macia, para multisuperfícies. Referência: Bombril, Assolan, 3M ou de melhor qualidade</t>
  </si>
  <si>
    <t>PANO FLANELA BRANCA ALGODÃO</t>
  </si>
  <si>
    <t>Pano para limpeza, 35x35, multiuso de microfibra. Referência: Scoth Brite, 3M ou de qualidade superior.</t>
  </si>
  <si>
    <t>PANO MICROFIBRA</t>
  </si>
  <si>
    <t>Pasta para limpeza multiuso. Referência: Pasta Cristal Rosa, Urca ou de qualidade superior</t>
  </si>
  <si>
    <t>PASTA ROSA</t>
  </si>
  <si>
    <t>Embalagem de 500g</t>
  </si>
  <si>
    <t>Pastilhas (ADESIVO) sanitárias, bactericidas, perfumadas. Embalagem: 3 adesivos. Referência: Pato Purific, Harpic ou de qualidade superior.</t>
  </si>
  <si>
    <t>PASTILHAS SANITÁRIO</t>
  </si>
  <si>
    <t>Embalagem com 3 adesivos</t>
  </si>
  <si>
    <t>Querosene, 100% hidrocarboneto alifático, 1L. Referência: Supremo, Bufalo, França ou de qualidade superior.</t>
  </si>
  <si>
    <t>QUEROSENE</t>
  </si>
  <si>
    <t>Sabão em barra, 200g cada unidade, glicerinado, barra sólida translucida, densidade (0 25°C), soluvel em água. Embalagem com 5 unidades. Referência: Ypê, Assim, Minuano ou de qualidade superior.</t>
  </si>
  <si>
    <t>SABÃO BARRA</t>
  </si>
  <si>
    <t>Embalagem com 5 unidades</t>
  </si>
  <si>
    <t>Sabão em pó, com tenso ativo biodegradável, perfumado, acondicionado em pacotes de 1 kg, Composição química: tensoativo aniônico, tamponantes, coadjuvantes, sinergista, corantes, enzimas, branqueador óptico, essência, água, alvejante, carga e demais componentes. Embalagem 1kg. Referência: OMO, Brilhante, Assim ou de qualidade superior.</t>
  </si>
  <si>
    <t>SABÃO EM PÓ</t>
  </si>
  <si>
    <t>Embalagem de 1kg</t>
  </si>
  <si>
    <t>AMACIANTE ROUPAS</t>
  </si>
  <si>
    <t>Embalagem 2l</t>
  </si>
  <si>
    <t>CERA LÍQUIDA</t>
  </si>
  <si>
    <t>Palha de aço nº 01 , pacote com 01 unidade</t>
  </si>
  <si>
    <t>PALHA DE AÇO</t>
  </si>
  <si>
    <t>SACO LIXO 20L</t>
  </si>
  <si>
    <t>Embalagem com 100 Unidades</t>
  </si>
  <si>
    <t>SACO LIXO 40L</t>
  </si>
  <si>
    <t>SACO LIXO 60L</t>
  </si>
  <si>
    <t>SACO LIXO 100L</t>
  </si>
  <si>
    <t>Saponáceo Cremoso multiuso 300 ml. Referência: Ypê, Cif ou de qualidade Superior</t>
  </si>
  <si>
    <t>SAPONÁCEO CREMOSO</t>
  </si>
  <si>
    <t>Frasco 300ml</t>
  </si>
  <si>
    <t>Soda Cáustica, 1k, uso doméstico para a desobstrução de encanamentos e sumidouros. Referência: Sol, Indaiá, Bradoc ou de qualidade superior.</t>
  </si>
  <si>
    <t>SODA CÁUSTICA</t>
  </si>
  <si>
    <t>Tela desodorizadora para mictório, Tela Odorizadora para Mictório com Pedra Neutralizadora, Cor: Tela Branca / Refil Azul, Composição Química: Cloro metil isotiazolinona, sayacthyl morpholinium ethosulfate, tensoativo, coadjuvantes, corante e essência. Referência: Scott, Elite ou de qualidade superior.</t>
  </si>
  <si>
    <t>TELA MICTORIO</t>
  </si>
  <si>
    <t>Saponáceo em pó com detergente</t>
  </si>
  <si>
    <t>SAPONÁCEO PÓ</t>
  </si>
  <si>
    <t>Frasco 300g</t>
  </si>
  <si>
    <t>MATERIAIS HIGIENE PESSOAL</t>
  </si>
  <si>
    <t>QUANTIDADE TOTAL MENSAL ESTIMADA</t>
  </si>
  <si>
    <t>QUANTIDADE TOTAL ANUAL ESTIMADA</t>
  </si>
  <si>
    <t>SEDE e HAUER</t>
  </si>
  <si>
    <t>Dispensador papel toalha interfolhas em plástico ABS. Branco. Referência: Kleenex, Softpapel, Elite ou de melhor qualidade.</t>
  </si>
  <si>
    <t>Dispensador para sabonete líquido / álcool em gel, de plástico ABS, capacidade mínima do reservatório 800 ml. Branco. Referência: Premisse, Vonder, Brinox ou de qualidade superior.</t>
  </si>
  <si>
    <t>Dispenser de Álcool em Gel para mesa, transparente, tipo pump, capacidade 500ml. Referência: Sanremo, Tramontina, Brinox ou de qualidade superior.</t>
  </si>
  <si>
    <t xml:space="preserve"> </t>
  </si>
  <si>
    <t>Álcool Etílico 70%, em Gel, para mãos, de ação anti-séptica, instantânea e sem enxague em Gel, hidratado, na forma física gelatinosa, hipoalergênico, atóxico, secagem rápida, contendo hidratante, espessante e com Ph neutro, levemente perfumado (aloe vera), para reposição em embalagem de 800 ml própria para dispenseres serem disponibilizados pela empresa. Galão: 5 Litros. Referência: Da Ilha, Itajá, Tupi.</t>
  </si>
  <si>
    <t>ÁLCOOL EM GEL</t>
  </si>
  <si>
    <t>Papel higiênico, boa qualidade, 100% fibra celulósica, folha dupla, macio perfumado, picotado, cor branca, gramatura de 32 a 34 gramas /metro quadrado, rolo com 30 metros de comprimento por 10 cm de largura. Fardo 64 rolos. Referência: Neve, Duetto ou de qualidade superior.</t>
  </si>
  <si>
    <t>PAPEL HIGIÊNICO</t>
  </si>
  <si>
    <t>Fardo com 64 rolos</t>
  </si>
  <si>
    <t>Papel toalha interfolhada, folha dupla, extra branco, duas dobras, gofrado e de alta qualidade, material puro celulose 100% virgem, não possuir odor desagradável, altamente absorvente e resistente à umidade, medindo no mínimo 22X20,7cm. Fardo  contendo 1.000 folhas. Referência: Delicatto, Scott, Elite ou de qualidade superior.</t>
  </si>
  <si>
    <t>PAPEL TOALHA</t>
  </si>
  <si>
    <t>Fardo com 1000 folhas</t>
  </si>
  <si>
    <t>Sabonete líquido (gel) concentrado perfumado, com emoliente, para saboneteira, perolizado, bactericida, com aroma, formulação com substâncias cosméticas de PH similar ao da pele, não provocando irritações. Embalagem 5 litros. Referência: Dove, Palmolive, Gramado ou de qualidade superior.</t>
  </si>
  <si>
    <t>SABONETE LÍQUIDO</t>
  </si>
  <si>
    <t>VALOR TOTAL ANUAL ESTIMADO</t>
  </si>
  <si>
    <t>1) Nos termos da Orientação Normativa nº 1/2021 AGU, os materiais de higiene pessoal  não podem ser considerados insumos na contratação de serviços de limpeza e conservação, por não estarem diretamente relacionados à sua execução, assim, os itens constantes desta tabela somente deverão ser requisitados, entregues, faturados e pagos conforme a efetiva necessidade e consumo. PROCESSO SEI PF 08385.011586/2021-13.</t>
  </si>
  <si>
    <t>3.ESQUADRIAS EXTERNAS (EE)</t>
  </si>
  <si>
    <t>3.1.Face externa com exposição a situação de risco</t>
  </si>
  <si>
    <t>4.FACHADAS ENVIDRAÇADAS (FE)</t>
  </si>
  <si>
    <t>4.1.Fachadas Envidraçadas</t>
  </si>
  <si>
    <t>CURITIBA (SEI 32940231)</t>
  </si>
  <si>
    <t>Áreas (m²)</t>
  </si>
  <si>
    <t>Cálculo do Nº de Postos em Razão da Produtividade Adotada</t>
  </si>
  <si>
    <t>Sede Santa Cândida</t>
  </si>
  <si>
    <t>Pátio de Veículos Hauer</t>
  </si>
  <si>
    <t>Área Total Contratada</t>
  </si>
  <si>
    <t>Produtividade de Referência Administração</t>
  </si>
  <si>
    <t>Índice de Produtividade</t>
  </si>
  <si>
    <t>Frequência no mês
 (Horas)</t>
  </si>
  <si>
    <t>Jornada de Trabalho no mês (Horas)</t>
  </si>
  <si>
    <t>Funcionários Estimados</t>
  </si>
  <si>
    <t>Funcionários por Tipo de Área</t>
  </si>
  <si>
    <t>Funcionários</t>
  </si>
  <si>
    <t xml:space="preserve">Quantidade de postos
</t>
  </si>
  <si>
    <t>1.TOTAL DE ÁREAS INTERNAS (AI)</t>
  </si>
  <si>
    <t>1.1.Pisos Acarpetados</t>
  </si>
  <si>
    <t>1.2.Pisos Frios</t>
  </si>
  <si>
    <t>1.3.Laboratórios</t>
  </si>
  <si>
    <t>1.4.Almoxarifados, galpões e depósitos</t>
  </si>
  <si>
    <t>1.5.Academias</t>
  </si>
  <si>
    <t>1.6.Oficinas</t>
  </si>
  <si>
    <t>1.7.Áreas vãos e espaços livres</t>
  </si>
  <si>
    <t>1.8.Banheiros</t>
  </si>
  <si>
    <t>2.TOTAL DE ÁREAS EXTERNAS (AE)</t>
  </si>
  <si>
    <t>2.1.Pisos e lajes pavimentados adjacentes/contíguos às edificações</t>
  </si>
  <si>
    <t>2.2.Varrição de passeios, estacionamento e arruamentos</t>
  </si>
  <si>
    <t>2.3.Pátios e áreas verdes com alta frequência</t>
  </si>
  <si>
    <t>2.4.Pátios e áreas verdes com média frequência</t>
  </si>
  <si>
    <t>2.5.Pátios e áreas verdes com baixa frequência</t>
  </si>
  <si>
    <t>2.6.Coleta de detritos em pátios e áreas verdes com frequência diária</t>
  </si>
  <si>
    <t>3.2.Face externa sem exposição a situação de risco</t>
  </si>
  <si>
    <t>3.3.Face interna</t>
  </si>
  <si>
    <t>ÁREAS TOTAIS</t>
  </si>
  <si>
    <t>CURITIBA GISE (SEI 32712455)</t>
  </si>
  <si>
    <t>GISE Centro</t>
  </si>
  <si>
    <t>Quantidade de postos</t>
  </si>
  <si>
    <t>GUARAPUAVA (SEI 32766267)</t>
  </si>
  <si>
    <t>Cálculo de Produtividade e Número de Postos</t>
  </si>
  <si>
    <t>Sede</t>
  </si>
  <si>
    <t>Produtividade Adotada</t>
  </si>
  <si>
    <t>Sede - Vila Nova</t>
  </si>
  <si>
    <t xml:space="preserve">GISE </t>
  </si>
  <si>
    <t>NEPOM</t>
  </si>
  <si>
    <t>PONTA GROSSA (37357468 E 39268999)</t>
  </si>
  <si>
    <t xml:space="preserve">Sede </t>
  </si>
  <si>
    <t>Custo Mensal por área total (Serventes)</t>
  </si>
  <si>
    <t>Custo Mensal p/ m2 (Serventes)</t>
  </si>
  <si>
    <t xml:space="preserve">Custo Mensal por área total Encarregado </t>
  </si>
  <si>
    <t>Custo Mensal p/ m2 (Encarregado)</t>
  </si>
  <si>
    <t>Custo Mensal por área total (Serv+Encarregado)</t>
  </si>
  <si>
    <t>Custo Mensal por m2 (Serv+Encarregado)</t>
  </si>
  <si>
    <t>Custo Mensal por área total</t>
  </si>
  <si>
    <t xml:space="preserve">Custo Mensal p/ m2 </t>
  </si>
  <si>
    <t>Custo Mensal p/ m2</t>
  </si>
  <si>
    <t>(A) VALOR TOTAL ANUAL - DEPRECIAÇÃO EQUIPAMENTOS</t>
  </si>
  <si>
    <t>CARRO CARGA</t>
  </si>
  <si>
    <t>Carro para transporte de lixo, com 04 rodas e capacidade mínima 500kg, com sistema de direção manobra.</t>
  </si>
  <si>
    <t>Esponja de Fibra 25x10x8, limpeza de uso geral verde ou branca. Referência: Bombril, Assolan, 3M ou de melhor qualidade</t>
  </si>
  <si>
    <t>Disco limpador para enceradeira profissional (Mod. CL-500 de 1HP), para piso ou para carpete. Referência: Bettanin, 3M, Cleaner ou de qualidade superior.</t>
  </si>
  <si>
    <t xml:space="preserve">Lixeira dupla (Coletor) de Copos descartáveis Água (200ml, capacidade de até 180 copos) e Café (50ml capacidadede até 220), em PVC. Referência: CM Design, Aldinox ou de qualidade superior. </t>
  </si>
  <si>
    <t>Luva de couro uso geral, par. Referência: Arclan, Tramontina, Vonder.</t>
  </si>
  <si>
    <t>Perneira proteção. Par. Referência: Brascamp, Nexus EPI, Shopbarroso, Proteloja ou de qualidade superior.</t>
  </si>
  <si>
    <t>Rastelo (vassoura jardinagem), 26 dentes ou superior, cabeça com 60 cm ou superiorde metal. Utilizado na varrição para coleta de detritos. Referência: Fasmatil, Tramontina, Vonder ou de qualidade superior.</t>
  </si>
  <si>
    <t>REFIL MOP (60cm x 12cm) Microfibra Referência: Certec, Bralimpia, Tramontina ou de qualidade superior.</t>
  </si>
  <si>
    <t>MOP Pó Profissional Completo, 60 cm de largura, com cabo de no mínimo 1,4m. Referência: Certec, Bralimpia, Tramontina ou de qualidade superior.</t>
  </si>
  <si>
    <t>Alcool Isopropilico</t>
  </si>
  <si>
    <t>ALCOOL ISOPROPILICO</t>
  </si>
  <si>
    <t>Embalagem 500ml</t>
  </si>
  <si>
    <r>
      <t xml:space="preserve">1) </t>
    </r>
    <r>
      <rPr>
        <b/>
        <sz val="12"/>
        <color theme="1"/>
        <rFont val="Calibri"/>
        <family val="2"/>
        <scheme val="minor"/>
      </rPr>
      <t xml:space="preserve">Custos indiretos e lucro: </t>
    </r>
    <r>
      <rPr>
        <sz val="12"/>
        <color theme="1"/>
        <rFont val="Calibri"/>
        <family val="2"/>
        <scheme val="minor"/>
      </rPr>
      <t>As estimativas de percentuais de custos indiretos e lucro foram calculados a partir de pesquisa de preços de licitações recentes para objetos similares no estado do Paraná, conforme detalhado na planilha de levantamento de preços e nos documentos de suporte da pesquisa de preços.</t>
    </r>
  </si>
  <si>
    <t>SUPERINTENDÊNCIA REGIONAL DA POLÍCIA FEDERAL NO PARANÁ</t>
  </si>
  <si>
    <t>NOTAS EXPLICATIVAS</t>
  </si>
  <si>
    <t>VALOR GLOBAL ESTIMADO</t>
  </si>
  <si>
    <t>Serviços de limpeza,  conservação e copeiragem, com disponibilização de serventes, encarregado e cumulação das funções de copeiro, com disponibilização de equipamentos e fornecimento de materiais.</t>
  </si>
  <si>
    <t xml:space="preserve"> Contratação de serviços contínuos de limpeza, conservação e copeiragem, com disponibilização de equipamentos e fornecimento de materiais, inclusive os de higiene pessoal, a serem executados com regime de dedicação exclusiva de mão de obra, nas unidades da Polícia Federal no estado do Paraná, nos municípios de Curitiba, Guarapuava, Londrina, Maringá, Paranaguá e Ponta Grossa, conforme condições e exigências estabelecidas no Edital da licitação e seus anexos.</t>
  </si>
  <si>
    <r>
      <rPr>
        <b/>
        <sz val="12"/>
        <color theme="1"/>
        <rFont val="Calibri"/>
        <family val="2"/>
        <scheme val="minor"/>
      </rPr>
      <t>3) Higiene Pessoal:</t>
    </r>
    <r>
      <rPr>
        <sz val="12"/>
        <color theme="1"/>
        <rFont val="Calibri"/>
        <family val="2"/>
        <scheme val="minor"/>
      </rPr>
      <t xml:space="preserve">
a) Nos termos da Orientação Normativa nº 1/2021 AGU, os materiais de higiene pessoal  não podem ser considerados insumos na contratação de serviços de limpeza e conservação, por não estarem diretamente relacionados à sua execução, assim, os itens constantes desta tabela somente deverão ser requisitados, entregues, faturados e pagos conforme a efetiva necessidade e consumo. PROCESSO SEI PF 08385.011586/2021-13.																		
b) Os preços propostos para estes itens devem considerar todos os custos incidentes, tais como lucro, despesas indiretas, tributos e outros custos porventura incidentes. Os preços poderão ser reajustados observados os requisitos contratuais.	</t>
    </r>
  </si>
  <si>
    <r>
      <rPr>
        <b/>
        <sz val="12"/>
        <rFont val="Calibri"/>
        <family val="2"/>
        <scheme val="minor"/>
      </rPr>
      <t xml:space="preserve">1) Férias e Adicional de Férias: </t>
    </r>
    <r>
      <rPr>
        <sz val="12"/>
        <rFont val="Calibri"/>
        <family val="2"/>
        <scheme val="minor"/>
      </rPr>
      <t>Percentual de ≅ 12,10% (1/11+(1/3)/11) de férias e adicional de férias, de acordo com a IN 05/2017 em seu anexo XVII, que prevê a retenção desse percentual em conta vinculada.</t>
    </r>
  </si>
  <si>
    <r>
      <rPr>
        <b/>
        <sz val="12"/>
        <rFont val="Calibri"/>
        <family val="2"/>
        <scheme val="minor"/>
      </rPr>
      <t>2) Décimo Terceiro Salário:</t>
    </r>
    <r>
      <rPr>
        <sz val="12"/>
        <rFont val="Calibri"/>
        <family val="2"/>
        <scheme val="minor"/>
      </rPr>
      <t xml:space="preserve"> 1/12meses = 0,0833=8,33%; Cotação de  8,33% sobre o valor do Módulo 1 - Composição da remuneração, conforme Anexo XII da IN 5/17</t>
    </r>
  </si>
  <si>
    <r>
      <rPr>
        <b/>
        <sz val="12"/>
        <rFont val="Calibri"/>
        <family val="2"/>
        <scheme val="minor"/>
      </rPr>
      <t>1) SAT (Seguro de Acidentes de Trabalho) - GIIL/RAT (Grau de Incidência de incapacidade Laborativa)</t>
    </r>
    <r>
      <rPr>
        <sz val="12"/>
        <rFont val="Calibri"/>
        <family val="2"/>
        <scheme val="minor"/>
      </rPr>
      <t xml:space="preserve"> = (RATxFAP)
a) RAT - Riscos Ambientais do Trabalho previsto no art. 22, II, da Lei nº 8212/1991, percentual de 1% para risco leve, 2% para risco médio e 3% para risco grave de acordo com o CNAE, conforme Anexo V, do Decreto nº 6.957/2009 e  art. 72, §1º, IN RFB 971/2009.
b) FAT - Fator Acidentário de Prevenção (art. 10, da Lei 10.666/2003) pode reduzir o valor da alíquota do RAT em até 50% ou aumentá-lo em até 100% (multiplicador variável de 0,50 a 2,00)
c) O percentual máximo SAT-GIIL/RAT é de 6% (3% RAT x 2 FAT), contudo, para efeito de cálculo, foi considerado o percentual de 3%. 
d) Cada empresa deve preencher de acordo com o valor referente a sua realidade. A empresa deverá enviar o FAP WEB e GFIP para comprovação dos percentuais adotados.
e) O SAT-GIIL/RAT incide sobre o Módulo 1 e o Submódulo 2.1.</t>
    </r>
  </si>
  <si>
    <r>
      <rPr>
        <b/>
        <sz val="12"/>
        <rFont val="Calibri"/>
        <family val="2"/>
        <scheme val="minor"/>
      </rPr>
      <t>1) Auxílio Alimentação:</t>
    </r>
    <r>
      <rPr>
        <sz val="12"/>
        <rFont val="Calibri"/>
        <family val="2"/>
        <scheme val="minor"/>
      </rPr>
      <t xml:space="preserve"> O valor informado deverá ser o custo real do benefício com auxílio alimentação (descontado o valor eventualmente pago pelo empregado).</t>
    </r>
  </si>
  <si>
    <r>
      <rPr>
        <b/>
        <sz val="12"/>
        <rFont val="Calibri"/>
        <family val="2"/>
        <scheme val="minor"/>
      </rPr>
      <t>2)</t>
    </r>
    <r>
      <rPr>
        <sz val="12"/>
        <rFont val="Calibri"/>
        <family val="2"/>
        <scheme val="minor"/>
      </rPr>
      <t xml:space="preserve"> </t>
    </r>
    <r>
      <rPr>
        <b/>
        <sz val="12"/>
        <rFont val="Calibri"/>
        <family val="2"/>
        <scheme val="minor"/>
      </rPr>
      <t>Vale Transporte</t>
    </r>
    <r>
      <rPr>
        <sz val="12"/>
        <rFont val="Calibri"/>
        <family val="2"/>
        <scheme val="minor"/>
      </rPr>
      <t xml:space="preserve"> - deduzida cota parte do trabalhador (6% do salário-base), conforme Lei 7.418/1985 e Lei 7.619/87, regulamentada pelo Decreto nº 95.247/1987.
Foram utilizados os valores da passagem do transporte coletivo do local da prestação dos serviços</t>
    </r>
  </si>
  <si>
    <r>
      <rPr>
        <b/>
        <sz val="12"/>
        <rFont val="Calibri"/>
        <family val="2"/>
        <scheme val="minor"/>
      </rPr>
      <t>3)</t>
    </r>
    <r>
      <rPr>
        <sz val="12"/>
        <rFont val="Calibri"/>
        <family val="2"/>
        <scheme val="minor"/>
      </rPr>
      <t xml:space="preserve"> </t>
    </r>
    <r>
      <rPr>
        <b/>
        <sz val="12"/>
        <rFont val="Calibri"/>
        <family val="2"/>
        <scheme val="minor"/>
      </rPr>
      <t>Fundo de Formação Profissional</t>
    </r>
    <r>
      <rPr>
        <sz val="12"/>
        <rFont val="Calibri"/>
        <family val="2"/>
        <scheme val="minor"/>
      </rPr>
      <t xml:space="preserve"> - embora previsto na CCT de referência da licitação, tal valor não foi previsto como benefício diário tendo em vista a NOTA TÉCNICA Nº 2602/2021/NAC2-PR/PARANÁ SEI PF 28203783, bem como o Parecer n. 00682/2023/ADV/E-CJU/SCOM/CGU/AGU</t>
    </r>
  </si>
  <si>
    <r>
      <t>4)</t>
    </r>
    <r>
      <rPr>
        <b/>
        <sz val="12"/>
        <rFont val="Calibri"/>
        <family val="2"/>
        <scheme val="minor"/>
      </rPr>
      <t xml:space="preserve"> Auxílio Saúde: </t>
    </r>
    <r>
      <rPr>
        <sz val="12"/>
        <rFont val="Calibri"/>
        <family val="2"/>
        <scheme val="minor"/>
      </rPr>
      <t>O valor foi previsto em conformidade com o contido no PARECER n. 00051/2024/E-CJU/SCOM/CGU/AGU (SEI PF 33884578)</t>
    </r>
  </si>
  <si>
    <r>
      <t xml:space="preserve">3) </t>
    </r>
    <r>
      <rPr>
        <b/>
        <sz val="12"/>
        <rFont val="Calibri"/>
        <family val="2"/>
        <scheme val="minor"/>
      </rPr>
      <t>Aviso Prévio Trabalhado</t>
    </r>
    <r>
      <rPr>
        <sz val="12"/>
        <rFont val="Calibri"/>
        <family val="2"/>
        <scheme val="minor"/>
      </rPr>
      <t xml:space="preserve">:
1° ano de contrato (cheio): (((7/30)/12)*100 = 1,944% ao mês
7 dias em 30 rateado em 12 meses multiplicado pela estatística cheia, nesse caso, 100%. 
Na Prorrogação será readequado. </t>
    </r>
  </si>
  <si>
    <r>
      <rPr>
        <b/>
        <sz val="12"/>
        <rFont val="Calibri"/>
        <family val="2"/>
        <scheme val="minor"/>
      </rPr>
      <t>1) Substituto na cobertura de Férias</t>
    </r>
    <r>
      <rPr>
        <sz val="12"/>
        <rFont val="Calibri"/>
        <family val="2"/>
        <scheme val="minor"/>
      </rPr>
      <t xml:space="preserve"> - previstas no art. 7º, XVII, da Constituição Federal e no art. 129 da CLT
Cálculo
((1+(1/3))/12)/12 = 0,926%
1= remuneração
1/3= terço constitucional sobre o valor das férias
12 = rateio do provisionamento para 12 meses
/12 = corresponde a 1/12 de férias, pois, a contratada necessitou disponibilizar POR 1 MÊS um de seus empregados/folguistas para cobrir o titular, que está usufruindo de férias.</t>
    </r>
  </si>
  <si>
    <r>
      <rPr>
        <b/>
        <sz val="12"/>
        <rFont val="Calibri"/>
        <family val="2"/>
        <scheme val="minor"/>
      </rPr>
      <t>3) Substituto na cobertura de Ausências Acidente de Trabalho</t>
    </r>
    <r>
      <rPr>
        <sz val="12"/>
        <rFont val="Calibri"/>
        <family val="2"/>
        <scheme val="minor"/>
      </rPr>
      <t xml:space="preserve"> -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Assim a provisão corresponde a: ((15/30)/12) x 0,0078 x 100 = 0,03%</t>
    </r>
  </si>
  <si>
    <r>
      <t xml:space="preserve">1) </t>
    </r>
    <r>
      <rPr>
        <b/>
        <sz val="12"/>
        <rFont val="Calibri"/>
        <family val="2"/>
        <scheme val="minor"/>
      </rPr>
      <t>Uniformes</t>
    </r>
    <r>
      <rPr>
        <sz val="12"/>
        <rFont val="Calibri"/>
        <family val="2"/>
        <scheme val="minor"/>
      </rPr>
      <t>: A estimativa de valores de uniformes considerou o preço praticado em outros contratos da Administração Pública combinados com preços da ferramenta de pesquisa de Preços do Portal de Compras do Governo Federal e reflete, o que julgou-se uma média razoável para estimativa de tais itens, considerando valores e relevância face ao valor total do contrato.</t>
    </r>
  </si>
  <si>
    <t>2) Método de Cálculo de Produtividade adotado conforme IN 05/2017 onde Áreas Internas e Externas são calculadas = 1/Produtividade; e Esquadrias e Fachadas Envidraçadas calculadas conforme fórmula da IN 05/2017 que considera periodicidade do serviço.</t>
  </si>
  <si>
    <t>3) As produtividades adotadas seguem o histórico das contratações anteriores para este mesmo objeto nesta Unidade Gestora, e embora na maioria dos itens sejam  superiores as de referência da IN nº 05/2017 tiveram a sua exequibilidade comprovada conforme se verifica da execução dos contratos. As produtividades foram definidas a partir do número de postos atualmente contratados, calculadas em função dos levantamentos atualizados de área.</t>
  </si>
  <si>
    <t>CATSER / CATMAT</t>
  </si>
  <si>
    <t>Unidade de Medida</t>
  </si>
  <si>
    <t>Mês</t>
  </si>
  <si>
    <t>Quantidade</t>
  </si>
  <si>
    <t>VALOR GLOBAL ESTIMADO - DETALHAMENTO</t>
  </si>
  <si>
    <t>VALOR TOTAL DO GRUPO ÚNICO</t>
  </si>
  <si>
    <t>Materiais de Higiene Pessoal - Estimativa Anual</t>
  </si>
  <si>
    <t>VALOR ANUAL ESTIMADO</t>
  </si>
  <si>
    <t>Carga Horária</t>
  </si>
  <si>
    <t>LONDRINA (SEI 32740331 e 39306298)</t>
  </si>
  <si>
    <t>LONDRINA GISE (SEI 32654390 e 37330712)</t>
  </si>
  <si>
    <t>(A) VALOR TOTAL MENSAL</t>
  </si>
  <si>
    <t>(C = (A/B)  CUSTO MENSAL DOS INSUMOS A SER CONSIDERADO NA PLANILHA DE CADA POSTO DE TRABALHO</t>
  </si>
  <si>
    <t>MARINGÁ (SEI 47680974)</t>
  </si>
  <si>
    <t>PARANAGUÁ (47182282)</t>
  </si>
  <si>
    <t>RESUMIDO</t>
  </si>
  <si>
    <t xml:space="preserve">Valor Unitário
Máximo
</t>
  </si>
  <si>
    <t>Valor Mensal
Máximo</t>
  </si>
  <si>
    <t>Valor Anual Máximo</t>
  </si>
  <si>
    <t>Valor Unitário Máximo</t>
  </si>
  <si>
    <t>Valor Total Máximo</t>
  </si>
  <si>
    <r>
      <t xml:space="preserve">1) </t>
    </r>
    <r>
      <rPr>
        <b/>
        <sz val="12"/>
        <rFont val="Calibri"/>
        <family val="2"/>
        <scheme val="minor"/>
      </rPr>
      <t xml:space="preserve">Aviso Prévio Indenizado: </t>
    </r>
    <r>
      <rPr>
        <sz val="12"/>
        <rFont val="Calibri"/>
        <family val="2"/>
        <scheme val="minor"/>
      </rPr>
      <t>Estimativa considerada: cerca de 5% do pessoal é demitido pelo empregador, antes do término do contrato de trabalho (Acordão TCU 6771/2009 e 1507/2018, ambos da Primeira Câmara).
a) Cálculo:
(1/12) x 5% = 0,4167% ao mês aplicado sobre a remuneração
1= O aviso prévio integral da remuneração, com desligamento imediato do empregado.
12= rateio da remuneração em 12 meses.
5% cumprem aviso prévio (variável)= dado estatístico. O valor pode variar conforme cada empresa.
b) No caso de renovação contratual, utilizar o percentual de 0,042% referente aos 3 dias de aviso acrescidos por ano (Lei 12.506/2011)</t>
    </r>
  </si>
  <si>
    <r>
      <rPr>
        <b/>
        <sz val="12"/>
        <rFont val="Calibri"/>
        <family val="2"/>
        <scheme val="minor"/>
      </rPr>
      <t xml:space="preserve">2) Substituto na cobertura de Ausências Legais </t>
    </r>
    <r>
      <rPr>
        <sz val="12"/>
        <rFont val="Calibri"/>
        <family val="2"/>
        <scheme val="minor"/>
      </rPr>
      <t>- prevista no art. 473 CLT (2 dias consecutivos - falecimento de cônjuge, ascendente, descendente, irmão ou pessoa economicamente dependente; 3 dias consecutivos - casamento; 1 dia a cada 12 meses de trabalho - doação de sangue; os dias que comparecer em juízo; até 2 dias - acompanhamento de consultas médicas e exames complementares durante a gravidez da esposa/companheira; 1 dia - acompanhamento do filho de até 6 anos em consulta médica)
Cálculo
((2/30/12)) x 100 = 0,5556%
2 = Índice de ocorrência - Dados estatísticos.  (variável conforme realidade da empresa).
30 =  Impacto sobre o mês
12 = Impacto diluído ao longo de 12 meses.</t>
    </r>
  </si>
  <si>
    <t>5) Os postos de Copeira para a SR/PF/PR não foram computados na  produtividade de referência do serviço de limpeza. A quantidade de postos considera a atual execução onde prestam serviços duas copeiras na sede da SR/PR, em  função do número de usuários e tamanho da edificação.</t>
  </si>
  <si>
    <t>6) Substituto na cobertura de Afastamento por Doença - O artigo 131, inciso III, da CLT, onera a empresa com até 15 (quinze) ausências do empregado por motivo de acidente ou doença atestada pelo INSS; levando-se em conta dados estatísticos divulgados pelo IBGE, em média cada trabalhador tem 5 (cinco) faltas justificadas anuais, motivadas por algum tipo de doença; a provisão para atender esse item corresponde a: (5/30)/12 x 100 =1,39%</t>
  </si>
  <si>
    <t>2) Equipamentos:
a) Foi considerado na formação de preços apenas o valor da depreciação, considerando a vida útil estimada de cada equipamento. Tal forma de contratação é a adotada na contratação atual e mantida por ser considerada a mais econômica e eficiente para a Contratante.
b) Foram considerados os prazos de vida útil por semelhança com os itens da IN RFB 1700/2021:
8424 – 10 ANOS - LAVADORA DE ALTA PRESSAO; 8508 – 5 ANOS - ASPIRADOR DE PÓ, ENCERADEIRA; 8210 – 10 ANOS - CARRO COPA; 8716 – 5 ANOS - CARRO LIMPEZA, CARRO LIXO, CARRO PLATAFORMA CARGA; 8205 – 5 ANOS – ESCADA; 8471 – 5 ANOS – RELÓGIO PONTO; 8543 - 10 ANOS - EXTRATORA.
c) O valor estimado dos equipamentos foi considerado utilizando  preços de outras licitações dos serviços de limpeza e conservação, combinados com pesquisa de mercado dos itens, conforme detalhado na planilha detalhada de Levantamento de Mercado e Pesquisa de Preços.
d) Para a estimativa de custo de manutenção de equipamentos, foi considerado o percentual vencedor da proposta da empresa vencedora no PE 90001/2024 - UASG 200366, tendo sido o único resultado de pesquisa de preços que envolveu tal custo de forma detalhada na planilha de custos.</t>
  </si>
  <si>
    <t>2) Multa do FGTS: Utilizou-se a retenção de 4% a título de multa sobre o FGTS sobre o aviso prévio indenizado e sobre o aviso prévio trabalhado (com ponderação de 50% cada), em conformidade com a Lei nº 13.932/2019 e Orientação nº 26 da SEGES/MPDG (https://www.gov.br/compras/pt-br/agente-publico/orientações-e-procedimentos/26-extincao-da-contribuicao-social-de-10-sobre-o-fgts-e-os-contratos-administrativos)</t>
  </si>
  <si>
    <t>4) Substituto na cobertura de Licença Paternidade - previsto no inciso II, do art. 1º, da Lei nº 11770/2008 (prorroga a duração da licença-paternidade por mais 15 dias, além dos 5 dias estabelecidos no §1º do art. 10, do ADCT)
Cálculo
(5/30)/12 x 0,02 x 100 = 0,0278%
5 dias de ausência
30 = Impacto sobre o mês
12 = Impacto diluído ao longo de 12 meses
0,02 ou 2% = Índice de ocorrência/estimativa.   (variável conforme realidade da empresa).</t>
  </si>
  <si>
    <t>5) Substituto na cobertura de Licença Maternidade - previsto no inciso I do art. 1º, da Lei nº 11.770/2008 (prorroga por 60 dias a duração da licença-maternidade prevista no inciso XVIII, do art. 7º, da Constituição Federal)
Cálculo:
(4/12)/12 x 0,02 x 100= 0,0556%
4/12 = 4 meses maternidade por anos (120 dias)
12 = meses do ano
0,02 ou 2% = Índice de ocorrência/Estatística  (variável conforme realidade da empresa).
100 = porcentagem</t>
  </si>
  <si>
    <t>Facão aço carbono 18 polegadas com cabo polipropileno / madeira. Alt. 2,3 cm x Larg. 7,2 cm x  Comp. 58,1 cm. Referência: Tramontina, Vonder ou de qualidade superior.</t>
  </si>
  <si>
    <t>Lima para enxada 8' polegadas com cabo. Referência: Tramontina, KF, Worker ou de qualidade superior.</t>
  </si>
  <si>
    <t>Xícara Material: Porcelana , Tipo: Café , Cor: Branca, Capacidade: 200 ML, Características Adicionais: Com Pires</t>
  </si>
  <si>
    <t>Salário Normativo Integral - IN SEGES/MGI 381/2025</t>
  </si>
  <si>
    <t>UNIFORME - SERVENTE DE LIMPEZA C/ CUMULAÇÃO COPEIRAGEM</t>
  </si>
  <si>
    <t>Açucareiro com tampa e colher de inox. Medidas aproximadas: Diâmetro 9cm x Alt. 8,5cm. Referência: Brinox, Tramontina, Fratelli ou de qualidade superior.</t>
  </si>
  <si>
    <t>Bandeja para servir bebidas, inox, aproximadamente 42cmx30cm. Referência: Brinox, Tramontina, Lumi ou de qualidade superior.</t>
  </si>
  <si>
    <t>Bandeja plástica, preferencialmente branca, medidas aproximadas 48x32x2,5 cm. Referência: Plastil, Tramontina, Sanremo ou de qualidade superior.</t>
  </si>
  <si>
    <t>Borrifador pulverizador, manual, com gatilho, multipray, capacidade para 500ml. Referência: Perfect, Vonder, Sanremo ou de qualidade superior.</t>
  </si>
  <si>
    <t>Bule 2L, aço inox. Referência: Tramontina, Continental, Fortaleza ou de qualidade superior.</t>
  </si>
  <si>
    <t>BULE INOX 2L</t>
  </si>
  <si>
    <t>CHALEIRA ELÉTRICA</t>
  </si>
  <si>
    <t>Chaleira elétrica, 1,7L ou superior, aço inoxidável, 110V ou 220v (CONFORME NECESSIDADE DA UNIDADE). Referência: Britânia, Cadence, Electrolux ou de qualidade superior.</t>
  </si>
  <si>
    <t>Chaleira, aço inox, capacidade 3 litros. Referência: Tramontina, Continental, Fortaleza ou de qualidade superior.</t>
  </si>
  <si>
    <t>CHALEIRA INOX 3L</t>
  </si>
  <si>
    <t>Coador de Pano para café, 100% Algodão com cabo em madeira, diâmetro aproximado 20 cm. Referência: Esperança, Redomma, Rabito ou de qualidade superior.</t>
  </si>
  <si>
    <t>COADOR SUPORTE ALUMÍNIO</t>
  </si>
  <si>
    <t>Porta Coador, de plástico, para Filtro de Papel nº 103</t>
  </si>
  <si>
    <t>COADOR SUPORTE PLÁSTICO</t>
  </si>
  <si>
    <t>COPOS VIDRO</t>
  </si>
  <si>
    <t>ENCERADEIRA DISCO</t>
  </si>
  <si>
    <t>EPI ÓCULOS</t>
  </si>
  <si>
    <t>EPI PERNEIRA</t>
  </si>
  <si>
    <t>EPI PROTETOR FACIAL</t>
  </si>
  <si>
    <t>Proteção facial. Referência: 3M, Libus, Plastcor ou de qualidade superior.</t>
  </si>
  <si>
    <t>ESCOVA GARRAFA TÉRMICA</t>
  </si>
  <si>
    <t>ESCOVA SANITÁRIA</t>
  </si>
  <si>
    <t>Escova para vaso sanitário, com suporte plástico. Referência: Tramontina, noviça, Sanremo ou de qualidade superior.</t>
  </si>
  <si>
    <t>Extensão elétrica, Certificado pelo INMETRO: cabo flexível PP Certificado NBR NM 247-5 e tomada tripolares padrão ABNT NBR 14136 (10A ou 20A - compatível com os equipamentos (aspirador, enceradeira, Lavadora de Alta pressão e Extratora), Carga Mínima Suportada: 1500w, de 5mts.</t>
  </si>
  <si>
    <t>EXTENSÃO ELÉTRICA 5M</t>
  </si>
  <si>
    <t xml:space="preserve">Funil Plástico nº 5. Dimensões aproximadas: Diâmetro 19 cm, Alt. 20 cm, Alt. Ponta de funil 8,5 cm. Referência: Sanremo, Tramontina, Artplastic ou de qualidade superior. </t>
  </si>
  <si>
    <t>Jarra de vidro para servir de água, 1L, vidro. Referência: Lyor, Fratelli, Brand Slim ou de qualidade superior.</t>
  </si>
  <si>
    <t>KIT para Limpeza de vidros, contendo: 1 Extensão telescópica 70 a 140 cm, 1 Cabo de fixação, 2 guias removíveis de 25 e 35cm, 1 raspador de segurança com 5 lâminas, 1 lavador de vidro 35cm, 1 luva para lavador de 35 cm, 1 lâmina de silicone de 91 cm. Modelo de Referência Bralimpia KT901</t>
  </si>
  <si>
    <t>KIT LIMPA VIDROS 1,4M</t>
  </si>
  <si>
    <t>KIT LIMPA VIDROS 9M</t>
  </si>
  <si>
    <t>Kit de Limpeza de Vidros, contendo  LAVADOR, com luva de acrílico e um LIMPADOR de vidros, com guia de metal e lâmina de borracha.+ Extensor 9m. Referência Bralimpia CB250 e EX900.</t>
  </si>
  <si>
    <t>Leiteira Profissional 1.5L com tampa ou com maior capacidade de litragem, aproximadamente 20 cm. Referência: Vigor, São Jorge, Tramontina ou de qualidade superior</t>
  </si>
  <si>
    <t>LEITEIRA 1,5L</t>
  </si>
  <si>
    <t>Lixeira, 15L, cores variadas (conforme necessidade da Unidade), Plástico, cilindrica, sem tampa, dimensões aproximadas: alt. 33 cm x Larg/Diam. 24 cm. Referência: Lar Plásticos, Sanremo, Trilha</t>
  </si>
  <si>
    <t>LIXEIRA 015L</t>
  </si>
  <si>
    <t>Lixeira 60L, tampa basculante, cores variadas (conforme necessidade da Unidade). Dimensões aproximadas: 41 cm x 31 cm x 74 cm. Referência: Sanremo, Tramontina, Atlas.</t>
  </si>
  <si>
    <t>LIXEIRA 060L</t>
  </si>
  <si>
    <t>Lixeira 100L, tampa basculante, cores variadas (conforme necessidade da Unidade), Dimensões aproximadas: 52 cm x 38 cm x 92 cm. Referência: Sanremo, Tramontina, Brinox.</t>
  </si>
  <si>
    <t>LIXEIRA 100L</t>
  </si>
  <si>
    <t>LUVA COURO</t>
  </si>
  <si>
    <t>MANGUEIRA 200M</t>
  </si>
  <si>
    <t>Mangueira trançada reforçada ½ polegada, 200 metros, anti-torção, super flexível. Referência: Perflex, Tramontina, Duraflex.</t>
  </si>
  <si>
    <t>Mangueira trançada reforçada ½ polegada, 60 metros, anti-torção, super flexível. Referência: Perflex, Tramontina, Duraflex.</t>
  </si>
  <si>
    <t>MANGUEIRA 60M</t>
  </si>
  <si>
    <t>MANGUEIRA ESGUICHO METAL</t>
  </si>
  <si>
    <t>MANGUEIRA KIT ENGATE RÁPIDO</t>
  </si>
  <si>
    <t xml:space="preserve">Kit Esguicho plástico engate rápido + conectores (macho + fêmea) para mangueira de jardim. Referência: Tramontina, Sanremo ou de qualidade superior. </t>
  </si>
  <si>
    <t>MOP PÓ COMPLETO</t>
  </si>
  <si>
    <t>PÁ LIXO</t>
  </si>
  <si>
    <t>PÁ LIXO EXTERNA</t>
  </si>
  <si>
    <t>PLACA SINALIZADORA</t>
  </si>
  <si>
    <t>Placa Sinalizadora "Cuidado Piso Molhado" Tipo cavalete articulado Produzidas em polipropileno de alta resistência na cor amarela que representa atenção. Aviso impresso nos dois lados da placa. Dimensões: Alt. 62 cm x Comp. 30 cm. Referência: Plasútil, Noviça e Tramontina ou de qualidade superior.</t>
  </si>
  <si>
    <t>PRENDEDOR</t>
  </si>
  <si>
    <t>Pregador De Roupa Material: Madeira , Modelo: Modelo Em "I" , Características Adicionais: Com Mola. (Dúzia)</t>
  </si>
  <si>
    <t>RODO DUPLO 40CM</t>
  </si>
  <si>
    <t>RODO DUPLO 60CM</t>
  </si>
  <si>
    <t>Rodo de plástico com perfil duplo, 40 cm de largura, com cabo longo em madeira plastificada. Referência: Condor, Tramontina, Sanremo ou de qualidade superior.</t>
  </si>
  <si>
    <t>Rodo de plástico com perfil duplo, 60 cm de largura, com cabo longo em madeira plastificada, limpeza de chão. Referência: Condor, Tramontina, Sanremo ou de qualidade superior.</t>
  </si>
  <si>
    <t>Suporte para fibras limpeza, articulado, rosca universal, com cabo de alumínio min. 1,4m. Referência: Bralimpia</t>
  </si>
  <si>
    <t>SUPORTE FIBRA DE LIMPEZA</t>
  </si>
  <si>
    <t>VASSOURA EXTERNA</t>
  </si>
  <si>
    <t>Vassoura de nylon, 40 cm de largura, com cabo longo em madeira plastificada. Referência: Bettanin, Condor, Noviça ou de qualidade superior.</t>
  </si>
  <si>
    <t>VASSOURA NYLON 40CM</t>
  </si>
  <si>
    <t>VASSOURA PIAÇAVA 40CM</t>
  </si>
  <si>
    <t>VASSOURA PLUMADA 40CM</t>
  </si>
  <si>
    <t>VASSOURAO PALHA</t>
  </si>
  <si>
    <t>VASSOURA TETO</t>
  </si>
  <si>
    <t>XÍCARA 080ML</t>
  </si>
  <si>
    <t>XÍCARA 200ML</t>
  </si>
  <si>
    <t>FIBRA LIMPEZA</t>
  </si>
  <si>
    <t>MOP PÓ REFIL</t>
  </si>
  <si>
    <t>Água sanitária, de uso geral, alvejante, desinfetante e bactericida, com o teor de cloro ativo entre 2,0% a 2,5% p/p durante o prazo de validade. Referência: QBoa, Ypé</t>
  </si>
  <si>
    <t>Álcool etílico hidratado,70º INPM, contendo em sua formulação desnaturante (benzoato de denatônio), especialmente indicado para limpeza de vidros, fórmicas, pisos e azulejos etc. Composição: álcool etílico, desnaturante, corante, essência e veículo. De acordo com as normas vigentes da ANVISA e ABNT. Referência: Da Ilha, Itajá, Tupi.</t>
  </si>
  <si>
    <t>Cera líquida, de proteção e resistência prolongada a pisos laváveis e pisos com grande tráfego, com alto brilho, antiderrapante, incolor e brilhante, fragrância.</t>
  </si>
  <si>
    <t>Desinfetante líquido, com ação germicida, bactericidas em meio aquoso, para uso geral. Superconcentrado. Referância: Ypê, Veja ou de qualidade superior.</t>
  </si>
  <si>
    <t>Pano de prato, branco, 100% algodão, absorvente, aproximadamente 45x65cm.</t>
  </si>
  <si>
    <t>Saco plástico para lixo, cores variadas (CONFORME NECESSIDADE DA UNIDADE), com capacidade para 20 LITROS, 10 micras. Embalagem com 100 unidades. Referência: Sanremo ou de qualidade superior</t>
  </si>
  <si>
    <t>Saco plástico para lixo, cores variadas (CONFORME NECESSIDADE DA UNIDADE), com capacidade para 40 LITROS, 10 micras. Pacote com 100 unidades. Referência: Sanremo ou de qualidade superior</t>
  </si>
  <si>
    <t>Saco plástico para lixo, cores variadas (CONFORME NECESSIDADE DA UNIDADE), com capacidade para 60 LITROS, alta resistência, 10 micras. Pacote com 100 unidades. Referência: Sanremo ou de qualidade superior</t>
  </si>
  <si>
    <t>Saco plástico para lixo, cores variadas (CONFORME NECESSIDADE DA UNIDADE), com capacidade para 100 litros, alta resistência, 10 micras. Embalagem com 100 unidades. Referência: Sanremo ou de qualidade superior.</t>
  </si>
  <si>
    <t>Amaciante líquido para artigos têxteis. Referência: Monbijou/Ypê/Confort.</t>
  </si>
  <si>
    <t>DISPENSER PAPEL TOALHA</t>
  </si>
  <si>
    <t>DISPENSER SABONETE LÍQUIDO</t>
  </si>
  <si>
    <t>DISPENSER ÁLCOOL GEÑ</t>
  </si>
  <si>
    <t>2) Os preços propostos para estes itens devem considerar todos os custos incidentes, tais como lucro, despesas indiretas, tributos e outros custos porventura incidentes. Em desejando o licitante poderá detalhar os referidos custos. Os preços poderão ser reajustados observados os requisitos contratuais.</t>
  </si>
  <si>
    <t>UTENSÍLIOS</t>
  </si>
  <si>
    <t>Adicional de Cumulação de Função Copeira Integral 
IN SEGES/MGI 381/2025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</si>
</sst>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7" formatCode="&quot;R$&quot;\ #,##0.00;\-&quot;R$&quot;\ #,##0.00"/>
    <numFmt numFmtId="44" formatCode="_-&quot;R$&quot;\ * #,##0.00_-;\-&quot;R$&quot;\ * #,##0.00_-;_-&quot;R$&quot;\ * &quot;-&quot;??_-;_-@_-"/>
    <numFmt numFmtId="43" formatCode="_-* #,##0.00_-;\-* #,##0.00_-;_-* &quot;-&quot;??_-;_-@_-"/>
    <numFmt numFmtId="164" formatCode="&quot;R$&quot;\ #,##0.00"/>
    <numFmt numFmtId="165" formatCode="_(* #,##0.00_);_(* \(#,##0.00\);_(* \-??_);_(@_)"/>
    <numFmt numFmtId="166" formatCode="0.000%"/>
    <numFmt numFmtId="167" formatCode="0.0000%"/>
    <numFmt numFmtId="168" formatCode="#,##0.00000000"/>
    <numFmt numFmtId="169" formatCode="0.00000000"/>
    <numFmt numFmtId="170" formatCode="0.0000000"/>
    <numFmt numFmtId="171" formatCode="#,##0.000000"/>
    <numFmt numFmtId="172" formatCode="&quot; R$ &quot;#,##0.00&quot; &quot;;&quot;-R$ &quot;#,##0.00&quot; &quot;;&quot; R$ -&quot;00&quot; &quot;;&quot; &quot;@&quot; &quot;"/>
    <numFmt numFmtId="173" formatCode="&quot; R$ &quot;#,##0.00&quot; &quot;;&quot; R$ (&quot;#,##0.00&quot;)&quot;;&quot; R$ -&quot;00&quot; &quot;;&quot; &quot;@&quot; &quot;"/>
    <numFmt numFmtId="174" formatCode="&quot; &quot;[$R$-416]&quot; &quot;#,##0.00&quot; &quot;;&quot;-&quot;[$R$-416]&quot; &quot;#,##0.00&quot; &quot;;&quot; &quot;[$R$-416]&quot; -&quot;00&quot; &quot;;&quot; &quot;@&quot; &quot;"/>
    <numFmt numFmtId="175" formatCode="&quot; &quot;#,##0.00&quot; &quot;;&quot; (&quot;#,##0.00&quot;)&quot;;&quot; -&quot;00&quot; &quot;;&quot; &quot;@&quot; &quot;"/>
    <numFmt numFmtId="176" formatCode="_-&quot;R$&quot;\ * #,##0.0000000_-;\-&quot;R$&quot;\ * #,##0.0000000_-;_-&quot;R$&quot;\ * &quot;-&quot;??_-;_-@_-"/>
    <numFmt numFmtId="177" formatCode="_-&quot;R$&quot;\ * #,##0.000000000_-;\-&quot;R$&quot;\ * #,##0.000000000_-;_-&quot;R$&quot;\ * &quot;-&quot;??_-;_-@_-"/>
    <numFmt numFmtId="178" formatCode="_-&quot;R$&quot;\ * #,##0.0000000000000_-;\-&quot;R$&quot;\ * #,##0.0000000000000_-;_-&quot;R$&quot;\ * &quot;-&quot;??_-;_-@_-"/>
    <numFmt numFmtId="179" formatCode="_-&quot;R$&quot;\ * #,##0.000000000000000_-;\-&quot;R$&quot;\ * #,##0.000000000000000_-;_-&quot;R$&quot;\ * &quot;-&quot;??_-;_-@_-"/>
    <numFmt numFmtId="180" formatCode="[$-409]d\-mmm\-yy;@"/>
    <numFmt numFmtId="182" formatCode="[$-416]dd\-mmm\-yy;@"/>
  </numFmts>
  <fonts count="76">
    <font>
      <sz val="11"/>
      <color theme="1"/>
      <name val="Calibri"/>
      <family val="2"/>
      <scheme val="minor"/>
    </font>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rgb="FF9C6500"/>
      <name val="Calibri"/>
      <family val="2"/>
      <scheme val="minor"/>
    </font>
    <font>
      <sz val="11"/>
      <color indexed="64"/>
      <name val="Calibri"/>
      <family val="2"/>
      <scheme val="minor"/>
    </font>
    <font>
      <b/>
      <sz val="12"/>
      <color theme="1"/>
      <name val="Calibri"/>
      <family val="2"/>
      <scheme val="minor"/>
    </font>
    <font>
      <sz val="12"/>
      <color theme="1"/>
      <name val="Calibri"/>
      <family val="2"/>
      <scheme val="minor"/>
    </font>
    <font>
      <sz val="12"/>
      <color rgb="FFFF0000"/>
      <name val="Calibri"/>
      <family val="2"/>
      <scheme val="minor"/>
    </font>
    <font>
      <b/>
      <sz val="12"/>
      <name val="Calibri"/>
      <family val="2"/>
      <scheme val="minor"/>
    </font>
    <font>
      <b/>
      <sz val="11"/>
      <name val="Calibri"/>
      <family val="2"/>
      <scheme val="minor"/>
    </font>
    <font>
      <b/>
      <sz val="11"/>
      <color rgb="FFFF0000"/>
      <name val="Calibri"/>
      <family val="2"/>
      <scheme val="minor"/>
    </font>
    <font>
      <sz val="12"/>
      <name val="Calibri"/>
      <family val="2"/>
      <scheme val="minor"/>
    </font>
    <font>
      <b/>
      <sz val="12"/>
      <color rgb="FFFF0000"/>
      <name val="Calibri"/>
      <family val="2"/>
      <scheme val="minor"/>
    </font>
    <font>
      <sz val="11"/>
      <name val="Calibri"/>
      <family val="2"/>
      <scheme val="minor"/>
    </font>
    <font>
      <b/>
      <sz val="10"/>
      <name val="Arial"/>
      <family val="2"/>
    </font>
    <font>
      <sz val="10"/>
      <name val="Calibri"/>
      <family val="2"/>
    </font>
    <font>
      <sz val="10"/>
      <name val="Courier New"/>
      <family val="3"/>
    </font>
    <font>
      <sz val="11"/>
      <color theme="1"/>
      <name val="Calibri"/>
      <family val="2"/>
    </font>
    <font>
      <b/>
      <sz val="13"/>
      <color theme="0"/>
      <name val="Calibri"/>
      <family val="2"/>
      <scheme val="minor"/>
    </font>
    <font>
      <b/>
      <sz val="10"/>
      <name val="Courier New"/>
      <family val="3"/>
    </font>
    <font>
      <u/>
      <sz val="11"/>
      <color theme="10"/>
      <name val="Calibri"/>
      <family val="2"/>
      <scheme val="minor"/>
    </font>
    <font>
      <sz val="12"/>
      <name val="Calibri"/>
      <family val="2"/>
    </font>
    <font>
      <sz val="10"/>
      <name val="Calibri"/>
      <family val="2"/>
      <scheme val="minor"/>
    </font>
    <font>
      <sz val="8"/>
      <name val="Calibri"/>
      <family val="2"/>
      <scheme val="minor"/>
    </font>
    <font>
      <sz val="9"/>
      <color rgb="FF000000"/>
      <name val="Calibri"/>
      <family val="2"/>
      <scheme val="minor"/>
    </font>
    <font>
      <b/>
      <sz val="9"/>
      <color rgb="FF000000"/>
      <name val="Calibri"/>
      <family val="2"/>
      <scheme val="minor"/>
    </font>
    <font>
      <sz val="11"/>
      <color rgb="FF000000"/>
      <name val="Calibri"/>
      <family val="2"/>
      <scheme val="minor"/>
    </font>
    <font>
      <b/>
      <u/>
      <sz val="12"/>
      <name val="Calibri"/>
      <family val="2"/>
      <scheme val="minor"/>
    </font>
    <font>
      <sz val="10"/>
      <color rgb="FF000000"/>
      <name val="Arial"/>
      <family val="2"/>
    </font>
    <font>
      <sz val="11"/>
      <color rgb="FF008000"/>
      <name val="Calibri"/>
      <family val="2"/>
    </font>
    <font>
      <sz val="11"/>
      <color rgb="FF800000"/>
      <name val="Calibri"/>
      <family val="2"/>
    </font>
    <font>
      <sz val="11"/>
      <color rgb="FF993366"/>
      <name val="Calibri"/>
      <family val="2"/>
    </font>
    <font>
      <b/>
      <sz val="11"/>
      <color rgb="FF993300"/>
      <name val="Calibri"/>
      <family val="2"/>
    </font>
    <font>
      <b/>
      <sz val="11"/>
      <color rgb="FF008000"/>
      <name val="Calibri"/>
      <family val="2"/>
    </font>
    <font>
      <sz val="11"/>
      <color rgb="FF993300"/>
      <name val="Calibri"/>
      <family val="2"/>
    </font>
    <font>
      <sz val="11"/>
      <color rgb="FF333399"/>
      <name val="Calibri"/>
      <family val="2"/>
    </font>
    <font>
      <sz val="11"/>
      <color rgb="FF660066"/>
      <name val="Calibri"/>
      <family val="2"/>
    </font>
    <font>
      <sz val="11"/>
      <color rgb="FF000000"/>
      <name val="Calibri"/>
      <family val="2"/>
    </font>
    <font>
      <sz val="11"/>
      <color rgb="FF000000"/>
      <name val="Arial1"/>
    </font>
    <font>
      <b/>
      <sz val="11"/>
      <color rgb="FF333333"/>
      <name val="Calibri"/>
      <family val="2"/>
    </font>
    <font>
      <b/>
      <sz val="15"/>
      <color rgb="FF003366"/>
      <name val="Calibri"/>
      <family val="2"/>
    </font>
    <font>
      <b/>
      <sz val="13"/>
      <color rgb="FF003366"/>
      <name val="Calibri"/>
      <family val="2"/>
    </font>
    <font>
      <b/>
      <sz val="11"/>
      <color rgb="FF003366"/>
      <name val="Calibri"/>
      <family val="2"/>
    </font>
    <font>
      <b/>
      <sz val="18"/>
      <color rgb="FF003366"/>
      <name val="Cambria"/>
      <family val="1"/>
    </font>
    <font>
      <sz val="11"/>
      <color rgb="FF000080"/>
      <name val="Calibri"/>
      <family val="2"/>
    </font>
    <font>
      <i/>
      <sz val="11"/>
      <color rgb="FFCCCCFF"/>
      <name val="Calibri"/>
      <family val="2"/>
    </font>
    <font>
      <b/>
      <sz val="11"/>
      <color rgb="FF800000"/>
      <name val="Calibri"/>
      <family val="2"/>
    </font>
    <font>
      <b/>
      <sz val="12"/>
      <name val="Calibri"/>
      <family val="2"/>
    </font>
    <font>
      <sz val="14"/>
      <color theme="1"/>
      <name val="Calibri"/>
      <family val="2"/>
      <scheme val="minor"/>
    </font>
    <font>
      <u/>
      <sz val="12"/>
      <color theme="1"/>
      <name val="Calibri"/>
      <family val="2"/>
      <scheme val="minor"/>
    </font>
    <font>
      <b/>
      <sz val="13"/>
      <color theme="2" tint="-0.89999084444715716"/>
      <name val="Calibri"/>
      <family val="2"/>
      <scheme val="minor"/>
    </font>
    <font>
      <b/>
      <sz val="11"/>
      <color theme="2" tint="-0.89999084444715716"/>
      <name val="Calibri"/>
      <family val="2"/>
      <scheme val="minor"/>
    </font>
    <font>
      <b/>
      <sz val="16"/>
      <color theme="1"/>
      <name val="Calibri"/>
      <family val="2"/>
      <scheme val="minor"/>
    </font>
    <font>
      <b/>
      <sz val="13"/>
      <color theme="1"/>
      <name val="Calibri"/>
      <family val="2"/>
      <scheme val="minor"/>
    </font>
    <font>
      <b/>
      <sz val="20"/>
      <color theme="1"/>
      <name val="Calibri"/>
      <family val="2"/>
      <scheme val="minor"/>
    </font>
    <font>
      <b/>
      <sz val="18"/>
      <color theme="1"/>
      <name val="Calibri"/>
      <family val="2"/>
      <scheme val="minor"/>
    </font>
    <font>
      <b/>
      <sz val="15"/>
      <color theme="1"/>
      <name val="Calibri"/>
      <family val="2"/>
      <scheme val="minor"/>
    </font>
    <font>
      <b/>
      <sz val="14"/>
      <color theme="1"/>
      <name val="Calibri"/>
      <family val="2"/>
      <scheme val="minor"/>
    </font>
    <font>
      <sz val="11"/>
      <color theme="1"/>
      <name val="Segoe UI Light"/>
      <family val="2"/>
    </font>
    <font>
      <b/>
      <sz val="13"/>
      <name val="Calibri"/>
      <family val="2"/>
      <scheme val="minor"/>
    </font>
  </fonts>
  <fills count="6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bgColor indexed="64"/>
      </patternFill>
    </fill>
    <fill>
      <patternFill patternType="solid">
        <fgColor rgb="FF333399"/>
        <bgColor rgb="FF333399"/>
      </patternFill>
    </fill>
    <fill>
      <patternFill patternType="solid">
        <fgColor rgb="FF000080"/>
        <bgColor rgb="FF000080"/>
      </patternFill>
    </fill>
    <fill>
      <patternFill patternType="solid">
        <fgColor rgb="FF339966"/>
        <bgColor rgb="FF339966"/>
      </patternFill>
    </fill>
    <fill>
      <patternFill patternType="solid">
        <fgColor rgb="FF660066"/>
        <bgColor rgb="FF660066"/>
      </patternFill>
    </fill>
    <fill>
      <patternFill patternType="solid">
        <fgColor rgb="FF993366"/>
        <bgColor rgb="FF993366"/>
      </patternFill>
    </fill>
    <fill>
      <patternFill patternType="solid">
        <fgColor rgb="FF0000FF"/>
        <bgColor rgb="FF0000FF"/>
      </patternFill>
    </fill>
    <fill>
      <patternFill patternType="solid">
        <fgColor rgb="FFFF6600"/>
        <bgColor rgb="FFFF6600"/>
      </patternFill>
    </fill>
    <fill>
      <patternFill patternType="solid">
        <fgColor rgb="FF99CC00"/>
        <bgColor rgb="FF99CC00"/>
      </patternFill>
    </fill>
    <fill>
      <patternFill patternType="solid">
        <fgColor rgb="FF666699"/>
        <bgColor rgb="FF666699"/>
      </patternFill>
    </fill>
    <fill>
      <patternFill patternType="solid">
        <fgColor rgb="FF00FFFF"/>
        <bgColor rgb="FF00FFFF"/>
      </patternFill>
    </fill>
    <fill>
      <patternFill patternType="solid">
        <fgColor rgb="FF969696"/>
        <bgColor rgb="FF969696"/>
      </patternFill>
    </fill>
    <fill>
      <patternFill patternType="solid">
        <fgColor rgb="FFFF9900"/>
        <bgColor rgb="FFFF9900"/>
      </patternFill>
    </fill>
    <fill>
      <patternFill patternType="solid">
        <fgColor rgb="FF800000"/>
        <bgColor rgb="FF800000"/>
      </patternFill>
    </fill>
    <fill>
      <patternFill patternType="solid">
        <fgColor rgb="FF808000"/>
        <bgColor rgb="FF808000"/>
      </patternFill>
    </fill>
    <fill>
      <patternFill patternType="solid">
        <fgColor rgb="FF333300"/>
        <bgColor rgb="FF333300"/>
      </patternFill>
    </fill>
    <fill>
      <patternFill patternType="solid">
        <fgColor rgb="FF008080"/>
        <bgColor rgb="FF008080"/>
      </patternFill>
    </fill>
    <fill>
      <patternFill patternType="solid">
        <fgColor rgb="FF993300"/>
        <bgColor rgb="FF993300"/>
      </patternFill>
    </fill>
    <fill>
      <patternFill patternType="solid">
        <fgColor rgb="FF0066CC"/>
        <bgColor rgb="FF0066CC"/>
      </patternFill>
    </fill>
    <fill>
      <patternFill patternType="solid">
        <fgColor rgb="FF333333"/>
        <bgColor rgb="FF333333"/>
      </patternFill>
    </fill>
    <fill>
      <patternFill patternType="solid">
        <fgColor rgb="FFFFCC00"/>
        <bgColor rgb="FFFFCC00"/>
      </patternFill>
    </fill>
    <fill>
      <patternFill patternType="solid">
        <fgColor rgb="FFFFFF00"/>
        <bgColor rgb="FFFFFF00"/>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thin">
        <color auto="1"/>
      </left>
      <right style="thin">
        <color auto="1"/>
      </right>
      <top/>
      <bottom style="thin">
        <color auto="1"/>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CCCCFF"/>
      </left>
      <right style="thin">
        <color rgb="FFCCCCFF"/>
      </right>
      <top style="thin">
        <color rgb="FFCCCCFF"/>
      </top>
      <bottom style="thin">
        <color rgb="FFCCCCFF"/>
      </bottom>
      <diagonal/>
    </border>
    <border>
      <left style="double">
        <color rgb="FF333333"/>
      </left>
      <right style="double">
        <color rgb="FF333333"/>
      </right>
      <top style="double">
        <color rgb="FF333333"/>
      </top>
      <bottom style="double">
        <color rgb="FF333333"/>
      </bottom>
      <diagonal/>
    </border>
    <border>
      <left/>
      <right/>
      <top/>
      <bottom style="double">
        <color rgb="FF993300"/>
      </bottom>
      <diagonal/>
    </border>
    <border>
      <left style="thin">
        <color rgb="FF0066CC"/>
      </left>
      <right style="thin">
        <color rgb="FF0066CC"/>
      </right>
      <top style="thin">
        <color rgb="FF0066CC"/>
      </top>
      <bottom style="thin">
        <color rgb="FF0066CC"/>
      </bottom>
      <diagonal/>
    </border>
    <border>
      <left style="thin">
        <color rgb="FF333333"/>
      </left>
      <right style="thin">
        <color rgb="FF333333"/>
      </right>
      <top style="thin">
        <color rgb="FF333333"/>
      </top>
      <bottom style="thin">
        <color rgb="FF333333"/>
      </bottom>
      <diagonal/>
    </border>
    <border>
      <left/>
      <right/>
      <top/>
      <bottom style="thick">
        <color rgb="FF333399"/>
      </bottom>
      <diagonal/>
    </border>
    <border>
      <left/>
      <right/>
      <top/>
      <bottom style="thick">
        <color rgb="FF0066CC"/>
      </bottom>
      <diagonal/>
    </border>
    <border>
      <left/>
      <right/>
      <top/>
      <bottom style="medium">
        <color rgb="FF008080"/>
      </bottom>
      <diagonal/>
    </border>
    <border>
      <left/>
      <right/>
      <top style="thin">
        <color rgb="FF333399"/>
      </top>
      <bottom style="double">
        <color rgb="FF333399"/>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rgb="FF000000"/>
      </left>
      <right/>
      <top style="thin">
        <color rgb="FF000000"/>
      </top>
      <bottom style="thin">
        <color rgb="FF000000"/>
      </bottom>
      <diagonal/>
    </border>
  </borders>
  <cellStyleXfs count="137">
    <xf numFmtId="0" fontId="0" fillId="0" borderId="0"/>
    <xf numFmtId="44" fontId="2" fillId="0" borderId="0" applyFont="0" applyFill="0" applyBorder="0" applyAlignment="0" applyProtection="0"/>
    <xf numFmtId="9" fontId="2" fillId="0" borderId="0" applyFont="0" applyFill="0" applyBorder="0" applyAlignment="0" applyProtection="0"/>
    <xf numFmtId="0" fontId="3" fillId="0" borderId="0" applyNumberFormat="0" applyFill="0" applyBorder="0" applyAlignment="0" applyProtection="0"/>
    <xf numFmtId="0" fontId="4" fillId="0" borderId="6" applyNumberFormat="0" applyFill="0" applyAlignment="0" applyProtection="0"/>
    <xf numFmtId="0" fontId="5" fillId="0" borderId="7" applyNumberFormat="0" applyFill="0" applyAlignment="0" applyProtection="0"/>
    <xf numFmtId="0" fontId="6" fillId="0" borderId="8"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5" borderId="9" applyNumberFormat="0" applyAlignment="0" applyProtection="0"/>
    <xf numFmtId="0" fontId="10" fillId="6" borderId="10" applyNumberFormat="0" applyAlignment="0" applyProtection="0"/>
    <xf numFmtId="0" fontId="11" fillId="6" borderId="9" applyNumberFormat="0" applyAlignment="0" applyProtection="0"/>
    <xf numFmtId="0" fontId="12" fillId="0" borderId="11" applyNumberFormat="0" applyFill="0" applyAlignment="0" applyProtection="0"/>
    <xf numFmtId="0" fontId="13" fillId="7" borderId="12" applyNumberFormat="0" applyAlignment="0" applyProtection="0"/>
    <xf numFmtId="0" fontId="14" fillId="0" borderId="0" applyNumberFormat="0" applyFill="0" applyBorder="0" applyAlignment="0" applyProtection="0"/>
    <xf numFmtId="0" fontId="2" fillId="8" borderId="13" applyNumberFormat="0" applyFont="0" applyAlignment="0" applyProtection="0"/>
    <xf numFmtId="0" fontId="15" fillId="0" borderId="0" applyNumberFormat="0" applyFill="0" applyBorder="0" applyAlignment="0" applyProtection="0"/>
    <xf numFmtId="0" fontId="16" fillId="0" borderId="14"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43" fontId="2" fillId="0" borderId="0" applyFont="0" applyFill="0" applyBorder="0" applyAlignment="0" applyProtection="0"/>
    <xf numFmtId="165" fontId="18"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9" fillId="4"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17" fillId="32" borderId="0" applyNumberFormat="0" applyBorder="0" applyAlignment="0" applyProtection="0"/>
    <xf numFmtId="43" fontId="2" fillId="0" borderId="0" applyFont="0" applyFill="0" applyBorder="0" applyAlignment="0" applyProtection="0"/>
    <xf numFmtId="0" fontId="2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8" fillId="0" borderId="0" applyFont="0" applyFill="0" applyBorder="0" applyAlignment="0" applyProtection="0"/>
    <xf numFmtId="44" fontId="2" fillId="0" borderId="0" applyFont="0" applyFill="0" applyBorder="0" applyAlignment="0" applyProtection="0"/>
    <xf numFmtId="0" fontId="36" fillId="0" borderId="0" applyNumberFormat="0" applyFill="0" applyBorder="0" applyAlignment="0" applyProtection="0"/>
    <xf numFmtId="0" fontId="44" fillId="0" borderId="0"/>
    <xf numFmtId="172" fontId="44" fillId="0" borderId="0" applyFont="0" applyBorder="0" applyProtection="0"/>
    <xf numFmtId="9" fontId="44" fillId="0" borderId="0" applyFont="0" applyBorder="0" applyProtection="0"/>
    <xf numFmtId="0" fontId="45" fillId="38" borderId="0" applyNumberFormat="0" applyBorder="0" applyAlignment="0" applyProtection="0"/>
    <xf numFmtId="0" fontId="45" fillId="39" borderId="0" applyNumberFormat="0" applyBorder="0" applyAlignment="0" applyProtection="0"/>
    <xf numFmtId="0" fontId="45" fillId="40" borderId="0" applyNumberFormat="0" applyBorder="0" applyAlignment="0" applyProtection="0"/>
    <xf numFmtId="0" fontId="45" fillId="41" borderId="0" applyNumberFormat="0" applyBorder="0" applyAlignment="0" applyProtection="0"/>
    <xf numFmtId="0" fontId="45" fillId="40" borderId="0" applyNumberFormat="0" applyBorder="0" applyAlignment="0" applyProtection="0"/>
    <xf numFmtId="0" fontId="45" fillId="42" borderId="0" applyNumberFormat="0" applyBorder="0" applyAlignment="0" applyProtection="0"/>
    <xf numFmtId="0" fontId="46" fillId="43" borderId="0" applyNumberFormat="0" applyBorder="0" applyAlignment="0" applyProtection="0"/>
    <xf numFmtId="0" fontId="46" fillId="44" borderId="0" applyNumberFormat="0" applyBorder="0" applyAlignment="0" applyProtection="0"/>
    <xf numFmtId="0" fontId="46" fillId="45" borderId="0" applyNumberFormat="0" applyBorder="0" applyAlignment="0" applyProtection="0"/>
    <xf numFmtId="0" fontId="46" fillId="46" borderId="0" applyNumberFormat="0" applyBorder="0" applyAlignment="0" applyProtection="0"/>
    <xf numFmtId="0" fontId="46" fillId="47" borderId="0" applyNumberFormat="0" applyBorder="0" applyAlignment="0" applyProtection="0"/>
    <xf numFmtId="0" fontId="46" fillId="48" borderId="0" applyNumberFormat="0" applyBorder="0" applyAlignment="0" applyProtection="0"/>
    <xf numFmtId="0" fontId="46" fillId="49" borderId="0" applyNumberFormat="0" applyBorder="0" applyAlignment="0" applyProtection="0"/>
    <xf numFmtId="0" fontId="46" fillId="50" borderId="0" applyNumberFormat="0" applyBorder="0" applyAlignment="0" applyProtection="0"/>
    <xf numFmtId="0" fontId="46" fillId="51" borderId="0" applyNumberFormat="0" applyBorder="0" applyAlignment="0" applyProtection="0"/>
    <xf numFmtId="0" fontId="46" fillId="46" borderId="0" applyNumberFormat="0" applyBorder="0" applyAlignment="0" applyProtection="0"/>
    <xf numFmtId="0" fontId="46" fillId="49" borderId="0" applyNumberFormat="0" applyBorder="0" applyAlignment="0" applyProtection="0"/>
    <xf numFmtId="0" fontId="46" fillId="52" borderId="0" applyNumberFormat="0" applyBorder="0" applyAlignment="0" applyProtection="0"/>
    <xf numFmtId="0" fontId="45" fillId="53" borderId="0" applyNumberFormat="0" applyBorder="0" applyAlignment="0" applyProtection="0"/>
    <xf numFmtId="0" fontId="45" fillId="50" borderId="0" applyNumberFormat="0" applyBorder="0" applyAlignment="0" applyProtection="0"/>
    <xf numFmtId="0" fontId="45" fillId="51" borderId="0" applyNumberFormat="0" applyBorder="0" applyAlignment="0" applyProtection="0"/>
    <xf numFmtId="0" fontId="45" fillId="41" borderId="0" applyNumberFormat="0" applyBorder="0" applyAlignment="0" applyProtection="0"/>
    <xf numFmtId="0" fontId="45" fillId="40" borderId="0" applyNumberFormat="0" applyBorder="0" applyAlignment="0" applyProtection="0"/>
    <xf numFmtId="0" fontId="45" fillId="54" borderId="0" applyNumberFormat="0" applyBorder="0" applyAlignment="0" applyProtection="0"/>
    <xf numFmtId="0" fontId="47" fillId="45" borderId="0" applyNumberFormat="0" applyBorder="0" applyAlignment="0" applyProtection="0"/>
    <xf numFmtId="0" fontId="48" fillId="55" borderId="26" applyNumberFormat="0" applyAlignment="0" applyProtection="0"/>
    <xf numFmtId="0" fontId="49" fillId="56" borderId="27" applyNumberFormat="0" applyAlignment="0" applyProtection="0"/>
    <xf numFmtId="0" fontId="50" fillId="0" borderId="28" applyNumberFormat="0" applyFill="0" applyAlignment="0" applyProtection="0"/>
    <xf numFmtId="0" fontId="51" fillId="48" borderId="26" applyNumberFormat="0" applyAlignment="0" applyProtection="0"/>
    <xf numFmtId="0" fontId="52" fillId="44" borderId="0" applyNumberFormat="0" applyBorder="0" applyAlignment="0" applyProtection="0"/>
    <xf numFmtId="173" fontId="44" fillId="0" borderId="0" applyFont="0" applyFill="0" applyBorder="0" applyAlignment="0" applyProtection="0"/>
    <xf numFmtId="173" fontId="44" fillId="0" borderId="0" applyFont="0" applyFill="0" applyBorder="0" applyAlignment="0" applyProtection="0"/>
    <xf numFmtId="173" fontId="44" fillId="0" borderId="0" applyFont="0" applyFill="0" applyBorder="0" applyAlignment="0" applyProtection="0"/>
    <xf numFmtId="174" fontId="44" fillId="0" borderId="0" applyFont="0" applyFill="0" applyBorder="0" applyAlignment="0" applyProtection="0"/>
    <xf numFmtId="0" fontId="50" fillId="57" borderId="0" applyNumberFormat="0" applyBorder="0" applyAlignment="0" applyProtection="0"/>
    <xf numFmtId="0" fontId="44" fillId="0" borderId="0" applyNumberFormat="0" applyFont="0" applyBorder="0" applyProtection="0"/>
    <xf numFmtId="0" fontId="44" fillId="0" borderId="0" applyNumberFormat="0" applyFont="0" applyBorder="0" applyProtection="0"/>
    <xf numFmtId="0" fontId="44" fillId="0" borderId="0" applyNumberFormat="0" applyFont="0" applyBorder="0" applyProtection="0"/>
    <xf numFmtId="0" fontId="44" fillId="0" borderId="0" applyNumberFormat="0" applyFont="0" applyBorder="0" applyProtection="0"/>
    <xf numFmtId="0" fontId="44" fillId="0" borderId="0" applyNumberFormat="0" applyFont="0" applyBorder="0" applyProtection="0"/>
    <xf numFmtId="0" fontId="53" fillId="0" borderId="0" applyNumberFormat="0" applyBorder="0" applyProtection="0"/>
    <xf numFmtId="0" fontId="53" fillId="0" borderId="0" applyNumberFormat="0" applyBorder="0" applyProtection="0"/>
    <xf numFmtId="0" fontId="54" fillId="0" borderId="0" applyNumberFormat="0" applyBorder="0" applyProtection="0"/>
    <xf numFmtId="0" fontId="44" fillId="58" borderId="29" applyNumberFormat="0" applyFont="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0" fontId="55" fillId="55" borderId="30" applyNumberFormat="0" applyAlignment="0" applyProtection="0"/>
    <xf numFmtId="175" fontId="44" fillId="0" borderId="0" applyFont="0" applyFill="0" applyBorder="0" applyAlignment="0" applyProtection="0"/>
    <xf numFmtId="0" fontId="56" fillId="0" borderId="31" applyNumberFormat="0" applyFill="0" applyAlignment="0" applyProtection="0"/>
    <xf numFmtId="0" fontId="57" fillId="0" borderId="32" applyNumberFormat="0" applyFill="0" applyAlignment="0" applyProtection="0"/>
    <xf numFmtId="0" fontId="58" fillId="0" borderId="33" applyNumberFormat="0" applyFill="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2" fillId="0" borderId="34" applyNumberFormat="0" applyFill="0" applyAlignment="0" applyProtection="0"/>
    <xf numFmtId="175" fontId="44" fillId="0" borderId="0" applyFont="0" applyFill="0" applyBorder="0" applyAlignment="0" applyProtection="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43" fontId="44" fillId="0" borderId="0" applyFont="0" applyFill="0" applyBorder="0" applyAlignment="0" applyProtection="0"/>
    <xf numFmtId="0" fontId="2" fillId="0" borderId="0"/>
    <xf numFmtId="4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44"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2" fillId="0" borderId="0"/>
    <xf numFmtId="44" fontId="2" fillId="0" borderId="0" applyFont="0" applyFill="0" applyBorder="0" applyAlignment="0" applyProtection="0"/>
    <xf numFmtId="43" fontId="2" fillId="0" borderId="0" applyFont="0" applyFill="0" applyBorder="0" applyAlignment="0" applyProtection="0"/>
  </cellStyleXfs>
  <cellXfs count="493">
    <xf numFmtId="0" fontId="0" fillId="0" borderId="0" xfId="0"/>
    <xf numFmtId="0" fontId="22" fillId="33" borderId="0" xfId="0" applyFont="1" applyFill="1"/>
    <xf numFmtId="0" fontId="24" fillId="33" borderId="0" xfId="0" applyFont="1" applyFill="1" applyAlignment="1">
      <alignment horizontal="center" vertical="center"/>
    </xf>
    <xf numFmtId="0" fontId="21" fillId="33" borderId="0" xfId="0" applyFont="1" applyFill="1" applyAlignment="1">
      <alignment horizontal="center" vertical="center"/>
    </xf>
    <xf numFmtId="0" fontId="22" fillId="33" borderId="0" xfId="0" applyFont="1" applyFill="1" applyAlignment="1">
      <alignment vertical="center"/>
    </xf>
    <xf numFmtId="0" fontId="22" fillId="33" borderId="1" xfId="0" applyFont="1" applyFill="1" applyBorder="1" applyAlignment="1">
      <alignment vertical="center" wrapText="1"/>
    </xf>
    <xf numFmtId="0" fontId="27" fillId="33" borderId="1" xfId="0" applyFont="1" applyFill="1" applyBorder="1" applyAlignment="1">
      <alignment vertical="center" wrapText="1"/>
    </xf>
    <xf numFmtId="0" fontId="23" fillId="33" borderId="0" xfId="0" applyFont="1" applyFill="1" applyAlignment="1">
      <alignment vertical="center"/>
    </xf>
    <xf numFmtId="0" fontId="21" fillId="33" borderId="0" xfId="0" applyFont="1" applyFill="1" applyAlignment="1">
      <alignment vertical="center"/>
    </xf>
    <xf numFmtId="7" fontId="22" fillId="33" borderId="1" xfId="54" applyNumberFormat="1" applyFont="1" applyFill="1" applyBorder="1" applyAlignment="1">
      <alignment horizontal="right" vertical="center" wrapText="1"/>
    </xf>
    <xf numFmtId="7" fontId="21" fillId="33" borderId="0" xfId="0" applyNumberFormat="1" applyFont="1" applyFill="1" applyAlignment="1">
      <alignment horizontal="center" vertical="center"/>
    </xf>
    <xf numFmtId="10" fontId="22" fillId="33" borderId="1" xfId="0" applyNumberFormat="1" applyFont="1" applyFill="1" applyBorder="1" applyAlignment="1">
      <alignment horizontal="center" vertical="center" wrapText="1"/>
    </xf>
    <xf numFmtId="7" fontId="22" fillId="33" borderId="0" xfId="0" applyNumberFormat="1" applyFont="1" applyFill="1"/>
    <xf numFmtId="10" fontId="21" fillId="33" borderId="1" xfId="0" applyNumberFormat="1" applyFont="1" applyFill="1" applyBorder="1" applyAlignment="1">
      <alignment horizontal="center" vertical="center" wrapText="1"/>
    </xf>
    <xf numFmtId="0" fontId="23" fillId="33" borderId="0" xfId="0" applyFont="1" applyFill="1" applyAlignment="1">
      <alignment horizontal="left" vertical="center"/>
    </xf>
    <xf numFmtId="0" fontId="27" fillId="33" borderId="1" xfId="0" applyFont="1" applyFill="1" applyBorder="1" applyAlignment="1">
      <alignment horizontal="center" vertical="center" wrapText="1"/>
    </xf>
    <xf numFmtId="7" fontId="24" fillId="33" borderId="0" xfId="0" applyNumberFormat="1" applyFont="1" applyFill="1" applyAlignment="1">
      <alignment horizontal="center" vertical="center"/>
    </xf>
    <xf numFmtId="0" fontId="22" fillId="33" borderId="1" xfId="0" applyFont="1" applyFill="1" applyBorder="1" applyAlignment="1">
      <alignment horizontal="justify" vertical="center" wrapText="1"/>
    </xf>
    <xf numFmtId="10" fontId="22" fillId="33" borderId="1" xfId="2" applyNumberFormat="1" applyFont="1" applyFill="1" applyBorder="1" applyAlignment="1">
      <alignment horizontal="center" vertical="center" wrapText="1"/>
    </xf>
    <xf numFmtId="0" fontId="14" fillId="33" borderId="0" xfId="0" applyFont="1" applyFill="1" applyAlignment="1">
      <alignment vertical="center" wrapText="1"/>
    </xf>
    <xf numFmtId="0" fontId="25" fillId="36" borderId="1" xfId="0" applyFont="1" applyFill="1" applyBorder="1" applyAlignment="1">
      <alignment horizontal="center" vertical="center" wrapText="1"/>
    </xf>
    <xf numFmtId="0" fontId="25" fillId="33" borderId="1" xfId="0" applyFont="1" applyFill="1" applyBorder="1" applyAlignment="1">
      <alignment horizontal="center" vertical="center" wrapText="1"/>
    </xf>
    <xf numFmtId="7" fontId="24" fillId="33" borderId="1" xfId="54" applyNumberFormat="1" applyFont="1" applyFill="1" applyBorder="1" applyAlignment="1">
      <alignment vertical="center" wrapText="1"/>
    </xf>
    <xf numFmtId="0" fontId="0" fillId="33" borderId="0" xfId="0" applyFill="1" applyAlignment="1">
      <alignment horizontal="center" vertical="center"/>
    </xf>
    <xf numFmtId="0" fontId="0" fillId="33" borderId="0" xfId="0" applyFill="1" applyAlignment="1">
      <alignment horizontal="center" vertical="center" wrapText="1"/>
    </xf>
    <xf numFmtId="0" fontId="22" fillId="0" borderId="1" xfId="0" applyFont="1" applyBorder="1" applyAlignment="1">
      <alignment horizontal="center" vertical="center" wrapText="1"/>
    </xf>
    <xf numFmtId="0" fontId="28" fillId="33" borderId="0" xfId="0" applyFont="1" applyFill="1"/>
    <xf numFmtId="10" fontId="27" fillId="33" borderId="1" xfId="0" applyNumberFormat="1" applyFont="1" applyFill="1" applyBorder="1" applyAlignment="1">
      <alignment horizontal="center" vertical="center" wrapText="1"/>
    </xf>
    <xf numFmtId="7" fontId="27" fillId="33" borderId="1" xfId="0" applyNumberFormat="1" applyFont="1" applyFill="1" applyBorder="1" applyAlignment="1">
      <alignment horizontal="right" vertical="center" wrapText="1"/>
    </xf>
    <xf numFmtId="7" fontId="21" fillId="34" borderId="1" xfId="0" applyNumberFormat="1" applyFont="1" applyFill="1" applyBorder="1" applyAlignment="1">
      <alignment horizontal="right" vertical="center" wrapText="1"/>
    </xf>
    <xf numFmtId="7" fontId="24" fillId="34" borderId="1" xfId="54" applyNumberFormat="1" applyFont="1" applyFill="1" applyBorder="1" applyAlignment="1">
      <alignment vertical="center" wrapText="1"/>
    </xf>
    <xf numFmtId="0" fontId="26" fillId="33" borderId="0" xfId="0" applyFont="1" applyFill="1" applyAlignment="1">
      <alignment horizontal="left" vertical="center" wrapText="1"/>
    </xf>
    <xf numFmtId="164" fontId="27" fillId="33" borderId="1" xfId="0" applyNumberFormat="1" applyFont="1" applyFill="1" applyBorder="1" applyAlignment="1">
      <alignment horizontal="right" vertical="center"/>
    </xf>
    <xf numFmtId="7" fontId="27" fillId="33" borderId="1" xfId="54" applyNumberFormat="1" applyFont="1" applyFill="1" applyBorder="1" applyAlignment="1">
      <alignment horizontal="right" vertical="center" wrapText="1"/>
    </xf>
    <xf numFmtId="10" fontId="22" fillId="0" borderId="1" xfId="2" applyNumberFormat="1" applyFont="1" applyFill="1" applyBorder="1" applyAlignment="1">
      <alignment horizontal="center" vertical="center" wrapText="1"/>
    </xf>
    <xf numFmtId="0" fontId="22" fillId="33" borderId="1" xfId="0" applyFont="1" applyFill="1" applyBorder="1"/>
    <xf numFmtId="0" fontId="23" fillId="33" borderId="0" xfId="0" applyFont="1" applyFill="1" applyAlignment="1">
      <alignment horizontal="center" vertical="center"/>
    </xf>
    <xf numFmtId="0" fontId="21" fillId="33" borderId="1" xfId="0" applyFont="1" applyFill="1" applyBorder="1" applyAlignment="1">
      <alignment horizontal="center" vertical="center" wrapText="1"/>
    </xf>
    <xf numFmtId="0" fontId="21" fillId="36" borderId="1" xfId="0" applyFont="1" applyFill="1" applyBorder="1" applyAlignment="1">
      <alignment horizontal="center" vertical="center"/>
    </xf>
    <xf numFmtId="7" fontId="27" fillId="33" borderId="1" xfId="54" applyNumberFormat="1" applyFont="1" applyFill="1" applyBorder="1" applyAlignment="1">
      <alignment horizontal="center" vertical="center" wrapText="1"/>
    </xf>
    <xf numFmtId="0" fontId="14" fillId="33" borderId="0" xfId="0" applyFont="1" applyFill="1" applyAlignment="1">
      <alignment horizontal="left" vertical="center"/>
    </xf>
    <xf numFmtId="0" fontId="21" fillId="36" borderId="1" xfId="0" applyFont="1" applyFill="1" applyBorder="1" applyAlignment="1">
      <alignment horizontal="center" vertical="center" wrapText="1"/>
    </xf>
    <xf numFmtId="7" fontId="27" fillId="33" borderId="1" xfId="0" applyNumberFormat="1" applyFont="1" applyFill="1" applyBorder="1" applyAlignment="1">
      <alignment horizontal="center" vertical="center" wrapText="1"/>
    </xf>
    <xf numFmtId="0" fontId="22" fillId="33" borderId="1" xfId="0" applyFont="1" applyFill="1" applyBorder="1" applyAlignment="1">
      <alignment horizontal="center" vertical="center" wrapText="1"/>
    </xf>
    <xf numFmtId="7" fontId="27" fillId="33" borderId="1" xfId="54" applyNumberFormat="1" applyFont="1" applyFill="1" applyBorder="1" applyAlignment="1">
      <alignment vertical="center" wrapText="1"/>
    </xf>
    <xf numFmtId="7" fontId="22" fillId="33" borderId="1" xfId="54" applyNumberFormat="1" applyFont="1" applyFill="1" applyBorder="1" applyAlignment="1">
      <alignment vertical="center" wrapText="1"/>
    </xf>
    <xf numFmtId="7" fontId="21" fillId="34" borderId="1" xfId="54" applyNumberFormat="1" applyFont="1" applyFill="1" applyBorder="1" applyAlignment="1">
      <alignment vertical="center" wrapText="1"/>
    </xf>
    <xf numFmtId="10" fontId="27" fillId="33" borderId="1" xfId="2" applyNumberFormat="1" applyFont="1" applyFill="1" applyBorder="1" applyAlignment="1">
      <alignment horizontal="center" vertical="center" wrapText="1"/>
    </xf>
    <xf numFmtId="164" fontId="29" fillId="0" borderId="1" xfId="49" applyNumberFormat="1" applyFont="1" applyBorder="1" applyAlignment="1">
      <alignment horizontal="center" vertical="center"/>
    </xf>
    <xf numFmtId="7" fontId="25" fillId="33" borderId="0" xfId="0" applyNumberFormat="1" applyFont="1" applyFill="1" applyAlignment="1">
      <alignment horizontal="left" vertical="center" wrapText="1"/>
    </xf>
    <xf numFmtId="164" fontId="29" fillId="33" borderId="1" xfId="49" applyNumberFormat="1" applyFont="1" applyFill="1" applyBorder="1" applyAlignment="1">
      <alignment horizontal="center" vertical="center"/>
    </xf>
    <xf numFmtId="0" fontId="32" fillId="0" borderId="0" xfId="0" applyFont="1" applyAlignment="1" applyProtection="1">
      <alignment vertical="center"/>
      <protection locked="0"/>
    </xf>
    <xf numFmtId="0" fontId="0" fillId="0" borderId="0" xfId="0" applyAlignment="1">
      <alignment horizontal="center"/>
    </xf>
    <xf numFmtId="0" fontId="31" fillId="0" borderId="0" xfId="0" applyFont="1" applyAlignment="1" applyProtection="1">
      <alignment vertical="center"/>
      <protection locked="0"/>
    </xf>
    <xf numFmtId="0" fontId="33" fillId="0" borderId="0" xfId="0" applyFont="1"/>
    <xf numFmtId="0" fontId="27" fillId="0" borderId="0" xfId="0" applyFont="1" applyAlignment="1" applyProtection="1">
      <alignment vertical="center"/>
      <protection locked="0"/>
    </xf>
    <xf numFmtId="0" fontId="0" fillId="0" borderId="1" xfId="0" applyBorder="1" applyAlignment="1">
      <alignment horizontal="center" vertical="center" wrapText="1"/>
    </xf>
    <xf numFmtId="0" fontId="0" fillId="0" borderId="1" xfId="0" applyBorder="1" applyAlignment="1">
      <alignment horizontal="center" vertical="center"/>
    </xf>
    <xf numFmtId="0" fontId="27" fillId="33" borderId="1" xfId="0" applyFont="1" applyFill="1" applyBorder="1" applyAlignment="1">
      <alignment horizontal="justify" vertical="center" wrapText="1"/>
    </xf>
    <xf numFmtId="0" fontId="27" fillId="0" borderId="1" xfId="0" applyFont="1" applyBorder="1" applyAlignment="1">
      <alignment vertical="center" wrapText="1"/>
    </xf>
    <xf numFmtId="7" fontId="27" fillId="0" borderId="1" xfId="54" applyNumberFormat="1" applyFont="1" applyBorder="1" applyAlignment="1">
      <alignment horizontal="right" vertical="center" wrapText="1"/>
    </xf>
    <xf numFmtId="1" fontId="22" fillId="33" borderId="1" xfId="0" applyNumberFormat="1" applyFont="1" applyFill="1" applyBorder="1" applyAlignment="1">
      <alignment horizontal="center" vertical="center" wrapText="1"/>
    </xf>
    <xf numFmtId="0" fontId="20" fillId="33" borderId="0" xfId="49" applyFill="1" applyAlignment="1">
      <alignment vertical="center"/>
    </xf>
    <xf numFmtId="0" fontId="30" fillId="33" borderId="0" xfId="49" applyFont="1" applyFill="1"/>
    <xf numFmtId="164" fontId="22" fillId="33" borderId="1" xfId="54" applyNumberFormat="1" applyFont="1" applyFill="1" applyBorder="1" applyAlignment="1">
      <alignment horizontal="right" vertical="center" wrapText="1"/>
    </xf>
    <xf numFmtId="0" fontId="27" fillId="33" borderId="1" xfId="0" applyFont="1" applyFill="1" applyBorder="1" applyAlignment="1">
      <alignment horizontal="center" vertical="center"/>
    </xf>
    <xf numFmtId="0" fontId="21" fillId="36" borderId="3" xfId="0" applyFont="1" applyFill="1" applyBorder="1" applyAlignment="1">
      <alignment horizontal="center" vertical="center" wrapText="1"/>
    </xf>
    <xf numFmtId="0" fontId="22" fillId="0" borderId="3" xfId="0" applyFont="1" applyBorder="1" applyAlignment="1">
      <alignment horizontal="left" vertical="center" wrapText="1"/>
    </xf>
    <xf numFmtId="0" fontId="22" fillId="33" borderId="3" xfId="0" applyFont="1" applyFill="1" applyBorder="1" applyAlignment="1">
      <alignment horizontal="left" vertical="center"/>
    </xf>
    <xf numFmtId="0" fontId="22" fillId="33" borderId="3" xfId="0" applyFont="1" applyFill="1" applyBorder="1" applyAlignment="1">
      <alignment horizontal="left" vertical="center" wrapText="1"/>
    </xf>
    <xf numFmtId="0" fontId="27" fillId="33" borderId="3" xfId="0" applyFont="1" applyFill="1" applyBorder="1" applyAlignment="1">
      <alignment horizontal="left" vertical="center" wrapText="1"/>
    </xf>
    <xf numFmtId="0" fontId="21" fillId="33" borderId="3" xfId="0" applyFont="1" applyFill="1" applyBorder="1" applyAlignment="1">
      <alignment horizontal="center" vertical="center" wrapText="1"/>
    </xf>
    <xf numFmtId="0" fontId="24" fillId="33" borderId="0" xfId="0" applyFont="1" applyFill="1" applyAlignment="1">
      <alignment horizontal="right" vertical="center"/>
    </xf>
    <xf numFmtId="0" fontId="25" fillId="36" borderId="2" xfId="0" applyFont="1" applyFill="1" applyBorder="1" applyAlignment="1">
      <alignment horizontal="center" vertical="center" wrapText="1"/>
    </xf>
    <xf numFmtId="0" fontId="25" fillId="36" borderId="0" xfId="0" applyFont="1" applyFill="1" applyAlignment="1">
      <alignment horizontal="center" vertical="center" wrapText="1"/>
    </xf>
    <xf numFmtId="0" fontId="37" fillId="0" borderId="0" xfId="0" applyFont="1" applyAlignment="1" applyProtection="1">
      <alignment vertical="center"/>
      <protection locked="0"/>
    </xf>
    <xf numFmtId="14" fontId="27" fillId="0" borderId="1" xfId="0" applyNumberFormat="1" applyFont="1" applyBorder="1" applyAlignment="1">
      <alignment horizontal="center" vertical="center" wrapText="1"/>
    </xf>
    <xf numFmtId="0" fontId="27" fillId="33" borderId="1" xfId="0" applyFont="1" applyFill="1" applyBorder="1" applyAlignment="1">
      <alignment horizontal="left" vertical="center" wrapText="1"/>
    </xf>
    <xf numFmtId="0" fontId="27" fillId="0" borderId="1" xfId="0" applyFont="1" applyBorder="1" applyAlignment="1">
      <alignment horizontal="center" vertical="center"/>
    </xf>
    <xf numFmtId="164" fontId="21" fillId="34" borderId="1" xfId="1" applyNumberFormat="1" applyFont="1" applyFill="1" applyBorder="1" applyAlignment="1">
      <alignment horizontal="center" vertical="center" wrapText="1"/>
    </xf>
    <xf numFmtId="10" fontId="27" fillId="0" borderId="1" xfId="2" applyNumberFormat="1" applyFont="1" applyFill="1" applyBorder="1" applyAlignment="1">
      <alignment horizontal="center" vertical="center" wrapText="1"/>
    </xf>
    <xf numFmtId="166" fontId="27" fillId="33" borderId="1" xfId="2" applyNumberFormat="1" applyFont="1" applyFill="1" applyBorder="1" applyAlignment="1">
      <alignment horizontal="center" vertical="center" wrapText="1"/>
    </xf>
    <xf numFmtId="167" fontId="27" fillId="33" borderId="1" xfId="2" applyNumberFormat="1" applyFont="1" applyFill="1" applyBorder="1" applyAlignment="1">
      <alignment horizontal="center" vertical="center" wrapText="1"/>
    </xf>
    <xf numFmtId="0" fontId="21" fillId="36" borderId="1" xfId="0" applyFont="1" applyFill="1" applyBorder="1" applyAlignment="1">
      <alignment vertical="center" wrapText="1"/>
    </xf>
    <xf numFmtId="7" fontId="27" fillId="33" borderId="1" xfId="0" applyNumberFormat="1" applyFont="1" applyFill="1" applyBorder="1" applyAlignment="1">
      <alignment vertical="center" wrapText="1"/>
    </xf>
    <xf numFmtId="7" fontId="22" fillId="33" borderId="1" xfId="0" applyNumberFormat="1" applyFont="1" applyFill="1" applyBorder="1" applyAlignment="1">
      <alignment vertical="center" wrapText="1"/>
    </xf>
    <xf numFmtId="7" fontId="21" fillId="34" borderId="1" xfId="0" applyNumberFormat="1" applyFont="1" applyFill="1" applyBorder="1" applyAlignment="1">
      <alignment vertical="center" wrapText="1"/>
    </xf>
    <xf numFmtId="0" fontId="25" fillId="36" borderId="2" xfId="0" applyFont="1" applyFill="1" applyBorder="1" applyAlignment="1">
      <alignment vertical="center" wrapText="1"/>
    </xf>
    <xf numFmtId="7" fontId="21" fillId="33" borderId="1" xfId="0" applyNumberFormat="1" applyFont="1" applyFill="1" applyBorder="1" applyAlignment="1">
      <alignment vertical="center" wrapText="1"/>
    </xf>
    <xf numFmtId="0" fontId="27" fillId="0" borderId="1" xfId="0" applyFont="1" applyBorder="1" applyAlignment="1">
      <alignment horizontal="center" vertical="center" wrapText="1"/>
    </xf>
    <xf numFmtId="0" fontId="22" fillId="0" borderId="0" xfId="0" applyFont="1"/>
    <xf numFmtId="164" fontId="29" fillId="33" borderId="1" xfId="2" applyNumberFormat="1" applyFont="1" applyFill="1" applyBorder="1" applyAlignment="1">
      <alignment horizontal="center" vertical="center"/>
    </xf>
    <xf numFmtId="0" fontId="21" fillId="34" borderId="1" xfId="0" applyFont="1" applyFill="1" applyBorder="1" applyAlignment="1">
      <alignment horizontal="center" vertical="center"/>
    </xf>
    <xf numFmtId="0" fontId="21" fillId="34" borderId="1" xfId="0" applyFont="1" applyFill="1" applyBorder="1" applyAlignment="1">
      <alignment horizontal="center" vertical="distributed"/>
    </xf>
    <xf numFmtId="1" fontId="27" fillId="0" borderId="1" xfId="0" applyNumberFormat="1" applyFont="1" applyBorder="1" applyAlignment="1">
      <alignment horizontal="center" vertical="center" wrapText="1"/>
    </xf>
    <xf numFmtId="0" fontId="24" fillId="34" borderId="0" xfId="0" applyFont="1" applyFill="1" applyAlignment="1">
      <alignment horizontal="center" vertical="center"/>
    </xf>
    <xf numFmtId="0" fontId="22" fillId="0" borderId="1" xfId="0" applyFont="1" applyBorder="1"/>
    <xf numFmtId="164" fontId="22" fillId="0" borderId="1" xfId="0" applyNumberFormat="1" applyFont="1" applyBorder="1"/>
    <xf numFmtId="7" fontId="25" fillId="33" borderId="0" xfId="0" applyNumberFormat="1" applyFont="1" applyFill="1" applyAlignment="1">
      <alignment horizontal="center" vertical="center" wrapText="1"/>
    </xf>
    <xf numFmtId="10" fontId="29" fillId="33" borderId="1" xfId="2" applyNumberFormat="1" applyFont="1" applyFill="1" applyBorder="1" applyAlignment="1">
      <alignment horizontal="center" vertical="center"/>
    </xf>
    <xf numFmtId="10" fontId="22" fillId="0" borderId="1" xfId="2" applyNumberFormat="1" applyFont="1" applyBorder="1" applyAlignment="1">
      <alignment horizontal="center"/>
    </xf>
    <xf numFmtId="0" fontId="27" fillId="0" borderId="1" xfId="0" applyFont="1" applyBorder="1" applyAlignment="1" applyProtection="1">
      <alignment horizontal="center" vertical="center" wrapText="1"/>
      <protection locked="0"/>
    </xf>
    <xf numFmtId="164" fontId="27" fillId="0" borderId="1" xfId="0" applyNumberFormat="1" applyFont="1" applyBorder="1" applyAlignment="1" applyProtection="1">
      <alignment horizontal="center" vertical="center"/>
      <protection locked="0"/>
    </xf>
    <xf numFmtId="1" fontId="27" fillId="0" borderId="1" xfId="0" applyNumberFormat="1" applyFont="1" applyBorder="1" applyAlignment="1" applyProtection="1">
      <alignment horizontal="center" vertical="center"/>
      <protection locked="0"/>
    </xf>
    <xf numFmtId="0" fontId="21" fillId="34" borderId="22" xfId="0" applyFont="1" applyFill="1" applyBorder="1" applyAlignment="1">
      <alignment horizontal="center" vertical="distributed"/>
    </xf>
    <xf numFmtId="0" fontId="27" fillId="0" borderId="22" xfId="0" applyFont="1" applyBorder="1" applyAlignment="1" applyProtection="1">
      <alignment horizontal="center" vertical="center" wrapText="1"/>
      <protection locked="0"/>
    </xf>
    <xf numFmtId="1" fontId="27" fillId="0" borderId="22" xfId="0" applyNumberFormat="1" applyFont="1" applyBorder="1" applyAlignment="1" applyProtection="1">
      <alignment horizontal="center" vertical="center" wrapText="1"/>
      <protection locked="0"/>
    </xf>
    <xf numFmtId="0" fontId="27" fillId="0" borderId="22" xfId="0" applyFont="1" applyBorder="1" applyAlignment="1" applyProtection="1">
      <alignment vertical="center"/>
      <protection locked="0"/>
    </xf>
    <xf numFmtId="164" fontId="27" fillId="0" borderId="24" xfId="0" applyNumberFormat="1" applyFont="1" applyBorder="1" applyAlignment="1" applyProtection="1">
      <alignment horizontal="center" vertical="center"/>
      <protection locked="0"/>
    </xf>
    <xf numFmtId="0" fontId="27" fillId="0" borderId="25" xfId="0" applyFont="1" applyBorder="1" applyAlignment="1" applyProtection="1">
      <alignment horizontal="center" vertical="center" wrapText="1"/>
      <protection locked="0"/>
    </xf>
    <xf numFmtId="0" fontId="21" fillId="34" borderId="21" xfId="0" applyFont="1" applyFill="1" applyBorder="1" applyAlignment="1">
      <alignment horizontal="center" vertical="distributed"/>
    </xf>
    <xf numFmtId="0" fontId="29" fillId="33" borderId="21" xfId="0" applyFont="1" applyFill="1" applyBorder="1" applyAlignment="1">
      <alignment horizontal="center" vertical="center"/>
    </xf>
    <xf numFmtId="9" fontId="22" fillId="0" borderId="22" xfId="0" applyNumberFormat="1" applyFont="1" applyBorder="1"/>
    <xf numFmtId="0" fontId="29" fillId="33" borderId="23" xfId="0" applyFont="1" applyFill="1" applyBorder="1" applyAlignment="1">
      <alignment horizontal="center" vertical="center"/>
    </xf>
    <xf numFmtId="164" fontId="29" fillId="33" borderId="24" xfId="2" applyNumberFormat="1" applyFont="1" applyFill="1" applyBorder="1" applyAlignment="1">
      <alignment horizontal="center" vertical="center"/>
    </xf>
    <xf numFmtId="0" fontId="22" fillId="0" borderId="24" xfId="0" applyFont="1" applyBorder="1"/>
    <xf numFmtId="164" fontId="22" fillId="0" borderId="24" xfId="0" applyNumberFormat="1" applyFont="1" applyBorder="1"/>
    <xf numFmtId="9" fontId="22" fillId="0" borderId="25" xfId="0" applyNumberFormat="1" applyFont="1" applyBorder="1"/>
    <xf numFmtId="10" fontId="0" fillId="0" borderId="22" xfId="2" applyNumberFormat="1" applyFont="1" applyFill="1" applyBorder="1" applyAlignment="1">
      <alignment horizontal="center" vertical="center"/>
    </xf>
    <xf numFmtId="10" fontId="0" fillId="0" borderId="25" xfId="2" applyNumberFormat="1" applyFont="1" applyFill="1" applyBorder="1" applyAlignment="1">
      <alignment horizontal="center" vertical="center"/>
    </xf>
    <xf numFmtId="10" fontId="22" fillId="0" borderId="22" xfId="2" applyNumberFormat="1" applyFont="1" applyBorder="1" applyAlignment="1">
      <alignment horizontal="center"/>
    </xf>
    <xf numFmtId="10" fontId="29" fillId="33" borderId="24" xfId="2" applyNumberFormat="1" applyFont="1" applyFill="1" applyBorder="1" applyAlignment="1">
      <alignment horizontal="center" vertical="center"/>
    </xf>
    <xf numFmtId="10" fontId="22" fillId="0" borderId="24" xfId="2" applyNumberFormat="1" applyFont="1" applyBorder="1" applyAlignment="1">
      <alignment horizontal="center"/>
    </xf>
    <xf numFmtId="10" fontId="22" fillId="0" borderId="25" xfId="2" applyNumberFormat="1" applyFont="1" applyBorder="1" applyAlignment="1">
      <alignment horizontal="center"/>
    </xf>
    <xf numFmtId="0" fontId="24" fillId="34" borderId="0" xfId="0" applyFont="1" applyFill="1" applyAlignment="1">
      <alignment vertical="center"/>
    </xf>
    <xf numFmtId="0" fontId="24" fillId="33" borderId="0" xfId="0" applyFont="1" applyFill="1" applyAlignment="1">
      <alignment vertical="center"/>
    </xf>
    <xf numFmtId="164" fontId="21" fillId="34" borderId="1" xfId="1" applyNumberFormat="1" applyFont="1" applyFill="1" applyBorder="1" applyAlignment="1">
      <alignment horizontal="right" vertical="center" wrapText="1"/>
    </xf>
    <xf numFmtId="10" fontId="24" fillId="33" borderId="1" xfId="54" applyNumberFormat="1" applyFont="1" applyFill="1" applyBorder="1" applyAlignment="1">
      <alignment vertical="center" wrapText="1"/>
    </xf>
    <xf numFmtId="0" fontId="21" fillId="33" borderId="1" xfId="0" applyFont="1" applyFill="1" applyBorder="1" applyAlignment="1">
      <alignment vertical="center" wrapText="1"/>
    </xf>
    <xf numFmtId="10" fontId="21" fillId="33" borderId="1" xfId="2" applyNumberFormat="1" applyFont="1" applyFill="1" applyBorder="1" applyAlignment="1">
      <alignment horizontal="center" vertical="center" wrapText="1"/>
    </xf>
    <xf numFmtId="0" fontId="21" fillId="33" borderId="0" xfId="0" applyFont="1" applyFill="1"/>
    <xf numFmtId="0" fontId="40" fillId="0" borderId="0" xfId="0" applyFont="1" applyAlignment="1">
      <alignment horizontal="left" vertical="center"/>
    </xf>
    <xf numFmtId="4" fontId="40" fillId="0" borderId="0" xfId="0" applyNumberFormat="1" applyFont="1" applyAlignment="1">
      <alignment horizontal="center" vertical="center"/>
    </xf>
    <xf numFmtId="3" fontId="40" fillId="0" borderId="0" xfId="0" applyNumberFormat="1" applyFont="1" applyAlignment="1">
      <alignment horizontal="center" vertical="center" wrapText="1"/>
    </xf>
    <xf numFmtId="168" fontId="40" fillId="0" borderId="0" xfId="0" applyNumberFormat="1" applyFont="1" applyAlignment="1">
      <alignment horizontal="center" vertical="center" wrapText="1"/>
    </xf>
    <xf numFmtId="0" fontId="40" fillId="0" borderId="0" xfId="0" applyFont="1" applyAlignment="1">
      <alignment horizontal="center" vertical="center" wrapText="1"/>
    </xf>
    <xf numFmtId="0" fontId="40" fillId="0" borderId="0" xfId="0" applyFont="1" applyAlignment="1">
      <alignment vertical="center"/>
    </xf>
    <xf numFmtId="0" fontId="41" fillId="0" borderId="0" xfId="0" applyFont="1" applyAlignment="1">
      <alignment horizontal="center" vertical="center" wrapText="1"/>
    </xf>
    <xf numFmtId="0" fontId="42" fillId="0" borderId="0" xfId="0" applyFont="1" applyAlignment="1">
      <alignment vertical="center"/>
    </xf>
    <xf numFmtId="0" fontId="0" fillId="0" borderId="0" xfId="0" applyAlignment="1">
      <alignment vertical="center"/>
    </xf>
    <xf numFmtId="4" fontId="24" fillId="37" borderId="1" xfId="0" applyNumberFormat="1" applyFont="1" applyFill="1" applyBorder="1" applyAlignment="1">
      <alignment horizontal="center" vertical="center"/>
    </xf>
    <xf numFmtId="3" fontId="24" fillId="37" borderId="1" xfId="0" applyNumberFormat="1" applyFont="1" applyFill="1" applyBorder="1" applyAlignment="1">
      <alignment horizontal="center" vertical="center" wrapText="1"/>
    </xf>
    <xf numFmtId="4" fontId="24" fillId="37" borderId="1" xfId="0" applyNumberFormat="1" applyFont="1" applyFill="1" applyBorder="1" applyAlignment="1">
      <alignment horizontal="center" vertical="center" wrapText="1"/>
    </xf>
    <xf numFmtId="168" fontId="24" fillId="37" borderId="1" xfId="0" applyNumberFormat="1" applyFont="1" applyFill="1" applyBorder="1" applyAlignment="1">
      <alignment horizontal="center" vertical="center" wrapText="1"/>
    </xf>
    <xf numFmtId="2" fontId="24" fillId="37" borderId="1" xfId="0" applyNumberFormat="1" applyFont="1" applyFill="1" applyBorder="1" applyAlignment="1">
      <alignment horizontal="center" vertical="center" wrapText="1"/>
    </xf>
    <xf numFmtId="2" fontId="24" fillId="0" borderId="1" xfId="0" applyNumberFormat="1" applyFont="1" applyBorder="1" applyAlignment="1">
      <alignment horizontal="center" vertical="center" wrapText="1"/>
    </xf>
    <xf numFmtId="0" fontId="24" fillId="37" borderId="1" xfId="0" applyFont="1" applyFill="1" applyBorder="1" applyAlignment="1">
      <alignment horizontal="center" vertical="center" wrapText="1"/>
    </xf>
    <xf numFmtId="0" fontId="24" fillId="37" borderId="1" xfId="0" applyFont="1" applyFill="1" applyBorder="1" applyAlignment="1">
      <alignment horizontal="left" vertical="center" wrapText="1"/>
    </xf>
    <xf numFmtId="1" fontId="24" fillId="0" borderId="1" xfId="0" applyNumberFormat="1" applyFont="1" applyBorder="1" applyAlignment="1">
      <alignment horizontal="center" vertical="center" wrapText="1"/>
    </xf>
    <xf numFmtId="0" fontId="27" fillId="0" borderId="1" xfId="0" applyFont="1" applyBorder="1" applyAlignment="1">
      <alignment horizontal="left" vertical="center" wrapText="1"/>
    </xf>
    <xf numFmtId="2" fontId="27" fillId="0" borderId="1" xfId="0" applyNumberFormat="1" applyFont="1" applyBorder="1" applyAlignment="1">
      <alignment horizontal="center" vertical="center" wrapText="1"/>
    </xf>
    <xf numFmtId="4" fontId="27" fillId="0" borderId="1" xfId="0" applyNumberFormat="1" applyFont="1" applyBorder="1" applyAlignment="1">
      <alignment horizontal="center" vertical="center"/>
    </xf>
    <xf numFmtId="3" fontId="27" fillId="0" borderId="1" xfId="0" applyNumberFormat="1" applyFont="1" applyBorder="1" applyAlignment="1">
      <alignment horizontal="center" vertical="center" wrapText="1"/>
    </xf>
    <xf numFmtId="4" fontId="27" fillId="0" borderId="1" xfId="0" applyNumberFormat="1" applyFont="1" applyBorder="1" applyAlignment="1">
      <alignment horizontal="center" vertical="center" wrapText="1"/>
    </xf>
    <xf numFmtId="168" fontId="27" fillId="0" borderId="1" xfId="0" applyNumberFormat="1" applyFont="1" applyBorder="1" applyAlignment="1">
      <alignment horizontal="center" vertical="center" wrapText="1"/>
    </xf>
    <xf numFmtId="0" fontId="24" fillId="37" borderId="1" xfId="0" applyFont="1" applyFill="1" applyBorder="1" applyAlignment="1">
      <alignment horizontal="left" vertical="center"/>
    </xf>
    <xf numFmtId="0" fontId="27" fillId="0" borderId="1" xfId="0" applyFont="1" applyBorder="1" applyAlignment="1">
      <alignment horizontal="left" vertical="center"/>
    </xf>
    <xf numFmtId="0" fontId="24" fillId="37" borderId="1" xfId="0" applyFont="1" applyFill="1" applyBorder="1" applyAlignment="1">
      <alignment horizontal="center" vertical="center"/>
    </xf>
    <xf numFmtId="3" fontId="27" fillId="0" borderId="0" xfId="0" applyNumberFormat="1" applyFont="1" applyAlignment="1">
      <alignment horizontal="center" vertical="center" wrapText="1"/>
    </xf>
    <xf numFmtId="4" fontId="27" fillId="0" borderId="0" xfId="0" applyNumberFormat="1" applyFont="1" applyAlignment="1">
      <alignment horizontal="center" vertical="center" wrapText="1"/>
    </xf>
    <xf numFmtId="2" fontId="27" fillId="0" borderId="0" xfId="0" applyNumberFormat="1" applyFont="1" applyAlignment="1">
      <alignment horizontal="center" vertical="center" wrapText="1"/>
    </xf>
    <xf numFmtId="2" fontId="24" fillId="0" borderId="0" xfId="0" applyNumberFormat="1" applyFont="1" applyAlignment="1">
      <alignment horizontal="center" vertical="center" wrapText="1"/>
    </xf>
    <xf numFmtId="0" fontId="24" fillId="0" borderId="0" xfId="0" applyFont="1" applyAlignment="1">
      <alignment horizontal="center" vertical="center"/>
    </xf>
    <xf numFmtId="4" fontId="24" fillId="0" borderId="0" xfId="0" applyNumberFormat="1" applyFont="1" applyAlignment="1">
      <alignment horizontal="center" vertical="center"/>
    </xf>
    <xf numFmtId="170" fontId="27" fillId="0" borderId="1" xfId="0" applyNumberFormat="1" applyFont="1" applyBorder="1" applyAlignment="1">
      <alignment horizontal="center" vertical="center" wrapText="1"/>
    </xf>
    <xf numFmtId="169" fontId="27" fillId="0" borderId="1" xfId="0" applyNumberFormat="1" applyFont="1" applyBorder="1" applyAlignment="1">
      <alignment horizontal="center" vertical="center" wrapText="1"/>
    </xf>
    <xf numFmtId="0" fontId="22" fillId="33" borderId="0" xfId="0" applyFont="1" applyFill="1" applyAlignment="1">
      <alignment horizontal="left" vertical="top" wrapText="1"/>
    </xf>
    <xf numFmtId="0" fontId="16" fillId="33" borderId="0" xfId="0" applyFont="1" applyFill="1" applyAlignment="1">
      <alignment horizontal="left" vertical="center"/>
    </xf>
    <xf numFmtId="0" fontId="0" fillId="0" borderId="0" xfId="0" applyAlignment="1">
      <alignment horizontal="center" vertical="center"/>
    </xf>
    <xf numFmtId="0" fontId="14" fillId="33" borderId="0" xfId="0" applyFont="1" applyFill="1" applyAlignment="1">
      <alignment horizontal="justify" vertical="center"/>
    </xf>
    <xf numFmtId="0" fontId="0" fillId="33" borderId="1" xfId="0" applyFill="1" applyBorder="1" applyAlignment="1">
      <alignment horizontal="justify" vertical="center" wrapText="1"/>
    </xf>
    <xf numFmtId="0" fontId="0" fillId="0" borderId="0" xfId="0" applyAlignment="1">
      <alignment horizontal="justify" vertical="center"/>
    </xf>
    <xf numFmtId="0" fontId="0" fillId="0" borderId="0" xfId="0" applyAlignment="1">
      <alignment horizontal="center" vertical="center" wrapText="1"/>
    </xf>
    <xf numFmtId="0" fontId="29" fillId="0" borderId="1" xfId="0" applyFont="1" applyBorder="1" applyAlignment="1">
      <alignment horizontal="center" vertical="center"/>
    </xf>
    <xf numFmtId="0" fontId="0" fillId="0" borderId="1" xfId="0" applyBorder="1" applyAlignment="1">
      <alignment horizontal="justify" vertical="center" wrapText="1"/>
    </xf>
    <xf numFmtId="44" fontId="0" fillId="0" borderId="1" xfId="1" applyFont="1" applyBorder="1" applyAlignment="1">
      <alignment horizontal="center" vertical="center"/>
    </xf>
    <xf numFmtId="171" fontId="27" fillId="0" borderId="1" xfId="0" applyNumberFormat="1" applyFont="1" applyBorder="1" applyAlignment="1">
      <alignment horizontal="center" vertical="center" wrapText="1"/>
    </xf>
    <xf numFmtId="0" fontId="27" fillId="33" borderId="0" xfId="0" applyFont="1" applyFill="1" applyAlignment="1">
      <alignment horizontal="left" vertical="top" wrapText="1"/>
    </xf>
    <xf numFmtId="44" fontId="0" fillId="0" borderId="1" xfId="0" applyNumberFormat="1" applyBorder="1" applyAlignment="1">
      <alignment horizontal="center" vertical="center"/>
    </xf>
    <xf numFmtId="0" fontId="43" fillId="37" borderId="1" xfId="0" applyFont="1" applyFill="1" applyBorder="1" applyAlignment="1">
      <alignment horizontal="center" vertical="center" wrapText="1"/>
    </xf>
    <xf numFmtId="1" fontId="0" fillId="0" borderId="1" xfId="0" applyNumberFormat="1" applyBorder="1" applyAlignment="1">
      <alignment horizontal="center" vertical="center" wrapText="1"/>
    </xf>
    <xf numFmtId="14" fontId="36" fillId="33" borderId="1" xfId="57" applyNumberFormat="1" applyFill="1" applyBorder="1" applyAlignment="1">
      <alignment horizontal="center" vertical="center" wrapText="1"/>
    </xf>
    <xf numFmtId="1" fontId="22" fillId="33" borderId="1" xfId="0" applyNumberFormat="1" applyFont="1" applyFill="1" applyBorder="1" applyAlignment="1">
      <alignment horizontal="center"/>
    </xf>
    <xf numFmtId="14" fontId="22" fillId="33" borderId="1" xfId="0" applyNumberFormat="1" applyFont="1" applyFill="1" applyBorder="1" applyAlignment="1">
      <alignment horizontal="center" vertical="center" wrapText="1"/>
    </xf>
    <xf numFmtId="0" fontId="22" fillId="33" borderId="0" xfId="0" applyFont="1" applyFill="1" applyAlignment="1">
      <alignment vertical="top" wrapText="1"/>
    </xf>
    <xf numFmtId="0" fontId="24" fillId="33" borderId="1" xfId="0" applyFont="1" applyFill="1" applyBorder="1" applyAlignment="1">
      <alignment horizontal="center" vertical="top" wrapText="1"/>
    </xf>
    <xf numFmtId="0" fontId="21" fillId="33" borderId="1" xfId="0" applyFont="1" applyFill="1" applyBorder="1" applyAlignment="1">
      <alignment horizontal="center" vertical="center"/>
    </xf>
    <xf numFmtId="0" fontId="22" fillId="33" borderId="1" xfId="0" applyFont="1" applyFill="1" applyBorder="1" applyAlignment="1">
      <alignment vertical="top" wrapText="1"/>
    </xf>
    <xf numFmtId="0" fontId="22" fillId="33" borderId="1" xfId="0" applyFont="1" applyFill="1" applyBorder="1" applyAlignment="1">
      <alignment horizontal="center" vertical="top" wrapText="1"/>
    </xf>
    <xf numFmtId="0" fontId="22" fillId="33" borderId="1" xfId="0" applyFont="1" applyFill="1" applyBorder="1" applyAlignment="1">
      <alignment horizontal="left" vertical="top" wrapText="1"/>
    </xf>
    <xf numFmtId="1" fontId="0" fillId="0" borderId="0" xfId="0" applyNumberFormat="1" applyAlignment="1">
      <alignment vertical="center"/>
    </xf>
    <xf numFmtId="1" fontId="0" fillId="0" borderId="1" xfId="1" applyNumberFormat="1" applyFont="1" applyBorder="1" applyAlignment="1">
      <alignment horizontal="center" vertical="center"/>
    </xf>
    <xf numFmtId="164" fontId="0" fillId="0" borderId="1" xfId="0" applyNumberFormat="1" applyBorder="1" applyAlignment="1">
      <alignment horizontal="center" vertical="center"/>
    </xf>
    <xf numFmtId="3" fontId="0" fillId="0" borderId="1" xfId="0" applyNumberFormat="1" applyBorder="1" applyAlignment="1">
      <alignment horizontal="center" vertical="center"/>
    </xf>
    <xf numFmtId="164" fontId="0" fillId="0" borderId="2" xfId="0" applyNumberFormat="1" applyBorder="1" applyAlignment="1">
      <alignment horizontal="center" vertical="center"/>
    </xf>
    <xf numFmtId="44" fontId="0" fillId="0" borderId="2" xfId="0" applyNumberFormat="1" applyBorder="1" applyAlignment="1">
      <alignment horizontal="center" vertical="center"/>
    </xf>
    <xf numFmtId="0" fontId="0" fillId="0" borderId="2" xfId="0" applyBorder="1" applyAlignment="1">
      <alignment horizontal="center" vertical="center"/>
    </xf>
    <xf numFmtId="0" fontId="29" fillId="0" borderId="1" xfId="0" applyFont="1" applyBorder="1" applyAlignment="1">
      <alignment horizontal="center" vertical="center" wrapText="1"/>
    </xf>
    <xf numFmtId="2" fontId="27" fillId="33" borderId="1" xfId="0" applyNumberFormat="1" applyFont="1" applyFill="1" applyBorder="1" applyAlignment="1">
      <alignment horizontal="center" vertical="center" wrapText="1"/>
    </xf>
    <xf numFmtId="4" fontId="27" fillId="33" borderId="1" xfId="0" applyNumberFormat="1" applyFont="1" applyFill="1" applyBorder="1" applyAlignment="1">
      <alignment horizontal="center" vertical="center"/>
    </xf>
    <xf numFmtId="0" fontId="63" fillId="0" borderId="1" xfId="0" applyFont="1" applyBorder="1" applyAlignment="1" applyProtection="1">
      <alignment vertical="center" wrapText="1"/>
      <protection locked="0"/>
    </xf>
    <xf numFmtId="179" fontId="27" fillId="33" borderId="1" xfId="1" applyNumberFormat="1" applyFont="1" applyFill="1" applyBorder="1" applyAlignment="1">
      <alignment horizontal="center" vertical="center" wrapText="1"/>
    </xf>
    <xf numFmtId="176" fontId="0" fillId="0" borderId="0" xfId="1" applyNumberFormat="1" applyFont="1" applyAlignment="1">
      <alignment vertical="center"/>
    </xf>
    <xf numFmtId="176" fontId="40" fillId="0" borderId="0" xfId="1" applyNumberFormat="1" applyFont="1" applyAlignment="1">
      <alignment horizontal="left" vertical="center"/>
    </xf>
    <xf numFmtId="176" fontId="24" fillId="37" borderId="1" xfId="1" applyNumberFormat="1" applyFont="1" applyFill="1" applyBorder="1" applyAlignment="1">
      <alignment horizontal="center" vertical="center" wrapText="1"/>
    </xf>
    <xf numFmtId="176" fontId="27" fillId="0" borderId="1" xfId="1" applyNumberFormat="1" applyFont="1" applyBorder="1" applyAlignment="1">
      <alignment horizontal="center" vertical="center" wrapText="1"/>
    </xf>
    <xf numFmtId="176" fontId="40" fillId="0" borderId="0" xfId="1" applyNumberFormat="1" applyFont="1" applyAlignment="1">
      <alignment vertical="center"/>
    </xf>
    <xf numFmtId="177" fontId="0" fillId="0" borderId="0" xfId="1" applyNumberFormat="1" applyFont="1" applyAlignment="1">
      <alignment vertical="center"/>
    </xf>
    <xf numFmtId="177" fontId="40" fillId="0" borderId="0" xfId="1" applyNumberFormat="1" applyFont="1" applyAlignment="1">
      <alignment horizontal="left" vertical="center"/>
    </xf>
    <xf numFmtId="177" fontId="24" fillId="37" borderId="1" xfId="1" applyNumberFormat="1" applyFont="1" applyFill="1" applyBorder="1" applyAlignment="1">
      <alignment horizontal="center" vertical="center" wrapText="1"/>
    </xf>
    <xf numFmtId="177" fontId="27" fillId="0" borderId="1" xfId="1" applyNumberFormat="1" applyFont="1" applyBorder="1" applyAlignment="1">
      <alignment horizontal="center" vertical="center" wrapText="1"/>
    </xf>
    <xf numFmtId="177" fontId="40" fillId="0" borderId="0" xfId="1" applyNumberFormat="1" applyFont="1" applyAlignment="1">
      <alignment vertical="center"/>
    </xf>
    <xf numFmtId="178" fontId="0" fillId="0" borderId="0" xfId="1" applyNumberFormat="1" applyFont="1" applyAlignment="1">
      <alignment vertical="center"/>
    </xf>
    <xf numFmtId="178" fontId="40" fillId="0" borderId="0" xfId="1" applyNumberFormat="1" applyFont="1" applyAlignment="1">
      <alignment horizontal="left" vertical="center"/>
    </xf>
    <xf numFmtId="178" fontId="24" fillId="37" borderId="1" xfId="1" applyNumberFormat="1" applyFont="1" applyFill="1" applyBorder="1" applyAlignment="1">
      <alignment horizontal="center" vertical="center" wrapText="1"/>
    </xf>
    <xf numFmtId="178" fontId="27" fillId="0" borderId="1" xfId="1" applyNumberFormat="1" applyFont="1" applyBorder="1" applyAlignment="1">
      <alignment horizontal="center" vertical="center" wrapText="1"/>
    </xf>
    <xf numFmtId="178" fontId="40" fillId="0" borderId="0" xfId="1" applyNumberFormat="1" applyFont="1" applyAlignment="1">
      <alignment vertical="center"/>
    </xf>
    <xf numFmtId="178" fontId="27" fillId="0" borderId="0" xfId="1" applyNumberFormat="1" applyFont="1" applyAlignment="1">
      <alignment horizontal="center" vertical="center" wrapText="1"/>
    </xf>
    <xf numFmtId="179" fontId="24" fillId="37" borderId="1" xfId="0" applyNumberFormat="1" applyFont="1" applyFill="1" applyBorder="1" applyAlignment="1">
      <alignment horizontal="center" vertical="center" wrapText="1"/>
    </xf>
    <xf numFmtId="179" fontId="27" fillId="0" borderId="1" xfId="1" applyNumberFormat="1" applyFont="1" applyBorder="1" applyAlignment="1">
      <alignment horizontal="center" vertical="center" wrapText="1"/>
    </xf>
    <xf numFmtId="0" fontId="22" fillId="0" borderId="1" xfId="0" applyFont="1" applyBorder="1" applyAlignment="1">
      <alignment vertical="center" wrapText="1"/>
    </xf>
    <xf numFmtId="7" fontId="22" fillId="0" borderId="1" xfId="54" applyNumberFormat="1" applyFont="1" applyFill="1" applyBorder="1" applyAlignment="1">
      <alignment horizontal="right" vertical="center" wrapText="1"/>
    </xf>
    <xf numFmtId="180" fontId="22" fillId="0" borderId="0" xfId="0" applyNumberFormat="1" applyFont="1"/>
    <xf numFmtId="0" fontId="21" fillId="34" borderId="1" xfId="0" applyFont="1" applyFill="1" applyBorder="1" applyAlignment="1">
      <alignment horizontal="center" vertical="distributed" wrapText="1"/>
    </xf>
    <xf numFmtId="10" fontId="24" fillId="33" borderId="1" xfId="2" applyNumberFormat="1" applyFont="1" applyFill="1" applyBorder="1" applyAlignment="1">
      <alignment vertical="center" wrapText="1"/>
    </xf>
    <xf numFmtId="164" fontId="22" fillId="0" borderId="1" xfId="54" applyNumberFormat="1" applyFont="1" applyFill="1" applyBorder="1" applyAlignment="1">
      <alignment horizontal="right" vertical="center" wrapText="1"/>
    </xf>
    <xf numFmtId="4" fontId="24" fillId="37" borderId="1" xfId="0" applyNumberFormat="1" applyFont="1" applyFill="1" applyBorder="1" applyAlignment="1">
      <alignment horizontal="center" vertical="distributed"/>
    </xf>
    <xf numFmtId="7" fontId="24" fillId="0" borderId="1" xfId="54" applyNumberFormat="1" applyFont="1" applyFill="1" applyBorder="1" applyAlignment="1">
      <alignment vertical="center" wrapText="1"/>
    </xf>
    <xf numFmtId="0" fontId="27" fillId="33" borderId="1" xfId="0" applyFont="1" applyFill="1" applyBorder="1"/>
    <xf numFmtId="164" fontId="27" fillId="33" borderId="1" xfId="0" applyNumberFormat="1" applyFont="1" applyFill="1" applyBorder="1" applyAlignment="1">
      <alignment vertical="center" wrapText="1"/>
    </xf>
    <xf numFmtId="164" fontId="24" fillId="34" borderId="1" xfId="0" applyNumberFormat="1" applyFont="1" applyFill="1" applyBorder="1" applyAlignment="1">
      <alignment vertical="center" wrapText="1"/>
    </xf>
    <xf numFmtId="0" fontId="21" fillId="0" borderId="1" xfId="0" applyFont="1" applyBorder="1" applyAlignment="1">
      <alignment horizontal="center" vertical="center" wrapText="1"/>
    </xf>
    <xf numFmtId="7" fontId="22" fillId="0" borderId="1" xfId="0" applyNumberFormat="1" applyFont="1" applyBorder="1" applyAlignment="1">
      <alignment vertical="center" wrapText="1"/>
    </xf>
    <xf numFmtId="7" fontId="21" fillId="0" borderId="1" xfId="0" applyNumberFormat="1" applyFont="1" applyBorder="1" applyAlignment="1">
      <alignment vertical="center" wrapText="1"/>
    </xf>
    <xf numFmtId="0" fontId="27" fillId="33" borderId="0" xfId="0" applyFont="1" applyFill="1"/>
    <xf numFmtId="0" fontId="27" fillId="33" borderId="0" xfId="0" applyFont="1" applyFill="1" applyAlignment="1">
      <alignment vertical="center"/>
    </xf>
    <xf numFmtId="44" fontId="0" fillId="0" borderId="1" xfId="1" applyFont="1" applyFill="1" applyBorder="1" applyAlignment="1">
      <alignment horizontal="center" vertical="center"/>
    </xf>
    <xf numFmtId="17" fontId="22" fillId="0" borderId="0" xfId="0" applyNumberFormat="1" applyFont="1"/>
    <xf numFmtId="0" fontId="16" fillId="0" borderId="1" xfId="0" applyFont="1" applyBorder="1" applyAlignment="1">
      <alignment horizontal="center" vertical="center"/>
    </xf>
    <xf numFmtId="164" fontId="0" fillId="0" borderId="40" xfId="0" applyNumberFormat="1" applyBorder="1" applyAlignment="1">
      <alignment horizontal="center" vertical="center"/>
    </xf>
    <xf numFmtId="44" fontId="0" fillId="0" borderId="5" xfId="0" applyNumberFormat="1" applyBorder="1" applyAlignment="1">
      <alignment horizontal="center" vertical="center"/>
    </xf>
    <xf numFmtId="3" fontId="0" fillId="0" borderId="40" xfId="0" applyNumberFormat="1" applyBorder="1" applyAlignment="1">
      <alignment horizontal="center" vertical="center"/>
    </xf>
    <xf numFmtId="3" fontId="0" fillId="0" borderId="2" xfId="0" applyNumberFormat="1" applyBorder="1" applyAlignment="1">
      <alignment horizontal="center" vertical="center"/>
    </xf>
    <xf numFmtId="1" fontId="0" fillId="0" borderId="1" xfId="1" applyNumberFormat="1" applyFont="1" applyFill="1" applyBorder="1" applyAlignment="1">
      <alignment horizontal="center" vertical="center"/>
    </xf>
    <xf numFmtId="0" fontId="0" fillId="0" borderId="1" xfId="0" applyBorder="1" applyAlignment="1">
      <alignment horizontal="justify" vertical="center"/>
    </xf>
    <xf numFmtId="0" fontId="0" fillId="0" borderId="5" xfId="0" applyBorder="1" applyAlignment="1">
      <alignment horizontal="center" vertical="center" wrapText="1"/>
    </xf>
    <xf numFmtId="0" fontId="0" fillId="0" borderId="5" xfId="0" applyBorder="1" applyAlignment="1">
      <alignment horizontal="center" vertical="center"/>
    </xf>
    <xf numFmtId="164" fontId="0" fillId="0" borderId="41" xfId="0" applyNumberFormat="1" applyBorder="1" applyAlignment="1">
      <alignment horizontal="center" vertical="center"/>
    </xf>
    <xf numFmtId="164" fontId="0" fillId="0" borderId="42" xfId="0" applyNumberFormat="1" applyBorder="1" applyAlignment="1">
      <alignment horizontal="center" vertical="center"/>
    </xf>
    <xf numFmtId="164" fontId="0" fillId="0" borderId="43" xfId="0" applyNumberFormat="1" applyBorder="1" applyAlignment="1">
      <alignment horizontal="center" vertical="center"/>
    </xf>
    <xf numFmtId="0" fontId="27" fillId="33" borderId="0" xfId="0" applyFont="1" applyFill="1" applyAlignment="1">
      <alignment horizontal="center" vertical="center"/>
    </xf>
    <xf numFmtId="0" fontId="27" fillId="0" borderId="0" xfId="0" applyFont="1" applyAlignment="1" applyProtection="1">
      <alignment horizontal="center" vertical="center" wrapText="1"/>
      <protection locked="0"/>
    </xf>
    <xf numFmtId="164" fontId="27" fillId="0" borderId="0" xfId="0" applyNumberFormat="1" applyFont="1" applyAlignment="1" applyProtection="1">
      <alignment horizontal="center" vertical="center"/>
      <protection locked="0"/>
    </xf>
    <xf numFmtId="0" fontId="65" fillId="33" borderId="0" xfId="0" applyFont="1" applyFill="1"/>
    <xf numFmtId="0" fontId="21" fillId="0" borderId="0" xfId="0" applyFont="1" applyAlignment="1">
      <alignment horizontal="center" vertical="center"/>
    </xf>
    <xf numFmtId="0" fontId="27" fillId="33" borderId="1" xfId="0" applyFont="1" applyFill="1" applyBorder="1" applyAlignment="1">
      <alignment horizontal="center" vertical="justify"/>
    </xf>
    <xf numFmtId="14" fontId="27" fillId="0" borderId="1" xfId="0" applyNumberFormat="1" applyFont="1" applyBorder="1" applyAlignment="1">
      <alignment horizontal="center" vertical="justify" wrapText="1"/>
    </xf>
    <xf numFmtId="0" fontId="0" fillId="33" borderId="1" xfId="0" applyFill="1" applyBorder="1" applyAlignment="1">
      <alignment horizontal="justify" vertical="distributed" wrapText="1"/>
    </xf>
    <xf numFmtId="0" fontId="29" fillId="33" borderId="1" xfId="0" applyFont="1" applyFill="1" applyBorder="1" applyAlignment="1">
      <alignment horizontal="justify" vertical="distributed" wrapText="1"/>
    </xf>
    <xf numFmtId="0" fontId="1" fillId="0" borderId="5" xfId="0" applyFont="1" applyBorder="1" applyAlignment="1">
      <alignment horizontal="justify" vertical="distributed" wrapText="1"/>
    </xf>
    <xf numFmtId="0" fontId="0" fillId="0" borderId="1" xfId="0" applyBorder="1" applyAlignment="1">
      <alignment horizontal="center" vertical="distributed"/>
    </xf>
    <xf numFmtId="0" fontId="29" fillId="0" borderId="1" xfId="0" applyFont="1" applyBorder="1" applyAlignment="1">
      <alignment horizontal="center" vertical="distributed"/>
    </xf>
    <xf numFmtId="0" fontId="0" fillId="0" borderId="5" xfId="0" applyBorder="1" applyAlignment="1">
      <alignment horizontal="center" vertical="distributed"/>
    </xf>
    <xf numFmtId="0" fontId="67" fillId="37" borderId="2" xfId="0" applyFont="1" applyFill="1" applyBorder="1" applyAlignment="1">
      <alignment horizontal="center" vertical="center" wrapText="1"/>
    </xf>
    <xf numFmtId="0" fontId="67" fillId="37" borderId="1" xfId="0" applyFont="1" applyFill="1" applyBorder="1" applyAlignment="1">
      <alignment horizontal="center" vertical="center" wrapText="1"/>
    </xf>
    <xf numFmtId="0" fontId="67" fillId="37" borderId="3" xfId="0" applyFont="1" applyFill="1" applyBorder="1" applyAlignment="1">
      <alignment horizontal="center" vertical="center" wrapText="1"/>
    </xf>
    <xf numFmtId="164" fontId="22" fillId="33" borderId="1" xfId="0" applyNumberFormat="1" applyFont="1" applyFill="1" applyBorder="1" applyAlignment="1">
      <alignment vertical="center"/>
    </xf>
    <xf numFmtId="164" fontId="27" fillId="0" borderId="1" xfId="1" applyNumberFormat="1" applyFont="1" applyFill="1" applyBorder="1" applyAlignment="1">
      <alignment horizontal="center" vertical="center"/>
    </xf>
    <xf numFmtId="0" fontId="21" fillId="37" borderId="1" xfId="0" applyFont="1" applyFill="1" applyBorder="1" applyAlignment="1">
      <alignment horizontal="center" vertical="center" wrapText="1"/>
    </xf>
    <xf numFmtId="0" fontId="21" fillId="37" borderId="2" xfId="0" applyFont="1" applyFill="1" applyBorder="1" applyAlignment="1">
      <alignment horizontal="center" vertical="center" wrapText="1"/>
    </xf>
    <xf numFmtId="0" fontId="0" fillId="33" borderId="1" xfId="0" applyFill="1" applyBorder="1" applyAlignment="1">
      <alignment horizontal="center" vertical="center"/>
    </xf>
    <xf numFmtId="0" fontId="74" fillId="0" borderId="35" xfId="96" applyFont="1" applyBorder="1" applyAlignment="1" applyProtection="1">
      <alignment horizontal="center"/>
    </xf>
    <xf numFmtId="164" fontId="0" fillId="33" borderId="1" xfId="0" applyNumberFormat="1" applyFill="1" applyBorder="1" applyAlignment="1">
      <alignment horizontal="center" vertical="center"/>
    </xf>
    <xf numFmtId="0" fontId="74" fillId="0" borderId="37" xfId="96" applyFont="1" applyBorder="1" applyAlignment="1" applyProtection="1">
      <alignment horizontal="center"/>
    </xf>
    <xf numFmtId="0" fontId="74" fillId="0" borderId="36" xfId="96" applyFont="1" applyBorder="1" applyAlignment="1" applyProtection="1">
      <alignment horizontal="center"/>
    </xf>
    <xf numFmtId="0" fontId="21" fillId="37" borderId="1" xfId="0" applyFont="1" applyFill="1" applyBorder="1" applyAlignment="1">
      <alignment horizontal="center" vertical="center"/>
    </xf>
    <xf numFmtId="164" fontId="21" fillId="37" borderId="1" xfId="0" applyNumberFormat="1" applyFont="1" applyFill="1" applyBorder="1" applyAlignment="1">
      <alignment horizontal="center" vertical="center"/>
    </xf>
    <xf numFmtId="164" fontId="69" fillId="37" borderId="1" xfId="0" applyNumberFormat="1" applyFont="1" applyFill="1" applyBorder="1" applyAlignment="1">
      <alignment horizontal="center" vertical="center"/>
    </xf>
    <xf numFmtId="0" fontId="74" fillId="0" borderId="35" xfId="97" applyFont="1" applyBorder="1" applyAlignment="1" applyProtection="1">
      <alignment horizontal="center"/>
    </xf>
    <xf numFmtId="0" fontId="74" fillId="0" borderId="36" xfId="97" applyFont="1" applyBorder="1" applyAlignment="1" applyProtection="1">
      <alignment horizontal="center"/>
    </xf>
    <xf numFmtId="0" fontId="16" fillId="37" borderId="5" xfId="0" applyFont="1" applyFill="1" applyBorder="1" applyAlignment="1">
      <alignment horizontal="center" vertical="center" wrapText="1"/>
    </xf>
    <xf numFmtId="10" fontId="73" fillId="37" borderId="1" xfId="0" applyNumberFormat="1" applyFont="1" applyFill="1" applyBorder="1" applyAlignment="1">
      <alignment vertical="center"/>
    </xf>
    <xf numFmtId="0" fontId="16" fillId="37" borderId="2" xfId="0" applyFont="1" applyFill="1" applyBorder="1" applyAlignment="1">
      <alignment horizontal="center" vertical="center" wrapText="1"/>
    </xf>
    <xf numFmtId="0" fontId="16" fillId="37" borderId="3" xfId="0" applyFont="1" applyFill="1" applyBorder="1" applyAlignment="1">
      <alignment horizontal="center" vertical="center" wrapText="1"/>
    </xf>
    <xf numFmtId="0" fontId="16" fillId="37" borderId="1" xfId="0" applyFont="1" applyFill="1" applyBorder="1" applyAlignment="1">
      <alignment horizontal="center" vertical="center" wrapText="1"/>
    </xf>
    <xf numFmtId="0" fontId="42" fillId="0" borderId="1" xfId="0" applyFont="1" applyBorder="1" applyAlignment="1">
      <alignment horizontal="justify" vertical="distributed" wrapText="1"/>
    </xf>
    <xf numFmtId="0" fontId="0" fillId="0" borderId="1" xfId="0" applyBorder="1" applyAlignment="1">
      <alignment horizontal="justify" vertical="distributed" wrapText="1"/>
    </xf>
    <xf numFmtId="0" fontId="63" fillId="0" borderId="0" xfId="0" applyFont="1" applyAlignment="1" applyProtection="1">
      <alignment vertical="center" wrapText="1"/>
      <protection locked="0"/>
    </xf>
    <xf numFmtId="0" fontId="37" fillId="0" borderId="0" xfId="0" applyFont="1" applyAlignment="1" applyProtection="1">
      <alignment horizontal="left" vertical="center" wrapText="1"/>
      <protection locked="0"/>
    </xf>
    <xf numFmtId="0" fontId="0" fillId="0" borderId="1" xfId="0" applyBorder="1" applyAlignment="1">
      <alignment horizontal="center"/>
    </xf>
    <xf numFmtId="180" fontId="27" fillId="0" borderId="1" xfId="0" applyNumberFormat="1" applyFont="1" applyBorder="1" applyAlignment="1">
      <alignment horizontal="center" vertical="center" wrapText="1"/>
    </xf>
    <xf numFmtId="164" fontId="22" fillId="33" borderId="1" xfId="0" applyNumberFormat="1" applyFont="1" applyFill="1" applyBorder="1" applyAlignment="1">
      <alignment horizontal="right" vertical="center" wrapText="1"/>
    </xf>
    <xf numFmtId="164" fontId="72" fillId="37" borderId="1" xfId="0" applyNumberFormat="1" applyFont="1" applyFill="1" applyBorder="1" applyAlignment="1">
      <alignment horizontal="right" vertical="center"/>
    </xf>
    <xf numFmtId="164" fontId="22" fillId="33" borderId="16" xfId="0" applyNumberFormat="1" applyFont="1" applyFill="1" applyBorder="1" applyAlignment="1">
      <alignment horizontal="right" vertical="center" wrapText="1"/>
    </xf>
    <xf numFmtId="164" fontId="73" fillId="37" borderId="1" xfId="0" applyNumberFormat="1" applyFont="1" applyFill="1" applyBorder="1" applyAlignment="1">
      <alignment horizontal="right" vertical="center"/>
    </xf>
    <xf numFmtId="164" fontId="32" fillId="0" borderId="0" xfId="0" applyNumberFormat="1" applyFont="1" applyAlignment="1" applyProtection="1">
      <alignment vertical="center"/>
      <protection locked="0"/>
    </xf>
    <xf numFmtId="10" fontId="32" fillId="0" borderId="0" xfId="2" applyNumberFormat="1" applyFont="1" applyAlignment="1" applyProtection="1">
      <alignment vertical="center"/>
      <protection locked="0"/>
    </xf>
    <xf numFmtId="0" fontId="0" fillId="59" borderId="0" xfId="0" applyFill="1" applyAlignment="1">
      <alignment vertical="center"/>
    </xf>
    <xf numFmtId="0" fontId="16" fillId="37" borderId="16" xfId="0" applyFont="1" applyFill="1" applyBorder="1" applyAlignment="1">
      <alignment horizontal="center" vertical="center" wrapText="1"/>
    </xf>
    <xf numFmtId="0" fontId="29" fillId="0" borderId="2" xfId="0" applyFont="1" applyBorder="1" applyAlignment="1">
      <alignment horizontal="center" vertical="center"/>
    </xf>
    <xf numFmtId="0" fontId="33" fillId="0" borderId="1" xfId="0" applyFont="1" applyBorder="1" applyAlignment="1">
      <alignment horizontal="justify" vertical="distributed" wrapText="1"/>
    </xf>
    <xf numFmtId="0" fontId="33" fillId="33" borderId="1" xfId="0" applyFont="1" applyFill="1" applyBorder="1" applyAlignment="1">
      <alignment horizontal="justify" vertical="center" wrapText="1"/>
    </xf>
    <xf numFmtId="1" fontId="29" fillId="0" borderId="1" xfId="0" applyNumberFormat="1" applyFont="1" applyBorder="1" applyAlignment="1">
      <alignment horizontal="center" vertical="center" wrapText="1"/>
    </xf>
    <xf numFmtId="0" fontId="29" fillId="0" borderId="1" xfId="0" applyFont="1" applyBorder="1" applyAlignment="1">
      <alignment horizontal="justify" vertical="center" wrapText="1"/>
    </xf>
    <xf numFmtId="44" fontId="29" fillId="0" borderId="1" xfId="1" applyFont="1" applyFill="1" applyBorder="1" applyAlignment="1">
      <alignment horizontal="center" vertical="center"/>
    </xf>
    <xf numFmtId="44" fontId="29" fillId="0" borderId="1" xfId="0" applyNumberFormat="1" applyFont="1" applyBorder="1" applyAlignment="1">
      <alignment horizontal="center" vertical="center"/>
    </xf>
    <xf numFmtId="0" fontId="29" fillId="0" borderId="0" xfId="0" applyFont="1" applyAlignment="1">
      <alignment vertical="center"/>
    </xf>
    <xf numFmtId="0" fontId="29" fillId="33" borderId="1" xfId="0" applyFont="1" applyFill="1" applyBorder="1" applyAlignment="1">
      <alignment horizontal="justify" vertical="center" wrapText="1"/>
    </xf>
    <xf numFmtId="0" fontId="16" fillId="37" borderId="43" xfId="0" applyFont="1" applyFill="1" applyBorder="1" applyAlignment="1">
      <alignment horizontal="center" vertical="center" wrapText="1"/>
    </xf>
    <xf numFmtId="0" fontId="16" fillId="37" borderId="44" xfId="0" applyFont="1" applyFill="1" applyBorder="1" applyAlignment="1">
      <alignment horizontal="center" vertical="center" wrapText="1"/>
    </xf>
    <xf numFmtId="0" fontId="25" fillId="0" borderId="1" xfId="0" applyFont="1" applyBorder="1" applyAlignment="1">
      <alignment horizontal="center" vertical="center"/>
    </xf>
    <xf numFmtId="0" fontId="29" fillId="0" borderId="1" xfId="0" applyFont="1" applyBorder="1" applyAlignment="1">
      <alignment horizontal="justify" vertical="distributed" wrapText="1"/>
    </xf>
    <xf numFmtId="0" fontId="0" fillId="33" borderId="1" xfId="0" applyFill="1" applyBorder="1" applyAlignment="1">
      <alignment vertical="center" wrapText="1"/>
    </xf>
    <xf numFmtId="44" fontId="64" fillId="0" borderId="1" xfId="1" applyFont="1" applyBorder="1"/>
    <xf numFmtId="44" fontId="70" fillId="37" borderId="1" xfId="1" applyFont="1" applyFill="1" applyBorder="1" applyAlignment="1">
      <alignment vertical="center" wrapText="1"/>
    </xf>
    <xf numFmtId="182" fontId="27" fillId="0" borderId="1" xfId="0" applyNumberFormat="1" applyFont="1" applyBorder="1" applyAlignment="1" applyProtection="1">
      <alignment horizontal="center" vertical="center" wrapText="1"/>
      <protection locked="0"/>
    </xf>
    <xf numFmtId="0" fontId="72" fillId="37" borderId="2" xfId="0" applyFont="1" applyFill="1" applyBorder="1" applyAlignment="1">
      <alignment horizontal="center" vertical="center"/>
    </xf>
    <xf numFmtId="0" fontId="72" fillId="37" borderId="4" xfId="0" applyFont="1" applyFill="1" applyBorder="1" applyAlignment="1">
      <alignment horizontal="center" vertical="center"/>
    </xf>
    <xf numFmtId="0" fontId="72" fillId="37" borderId="3" xfId="0" applyFont="1" applyFill="1" applyBorder="1" applyAlignment="1">
      <alignment horizontal="center" vertical="center"/>
    </xf>
    <xf numFmtId="0" fontId="22" fillId="33" borderId="1" xfId="0" applyFont="1" applyFill="1" applyBorder="1" applyAlignment="1">
      <alignment horizontal="center" vertical="center" wrapText="1"/>
    </xf>
    <xf numFmtId="0" fontId="24" fillId="34" borderId="0" xfId="0" applyFont="1" applyFill="1" applyAlignment="1">
      <alignment horizontal="center" vertical="center"/>
    </xf>
    <xf numFmtId="0" fontId="27" fillId="33" borderId="0" xfId="0" applyFont="1" applyFill="1" applyAlignment="1">
      <alignment horizontal="center" vertical="center"/>
    </xf>
    <xf numFmtId="0" fontId="37" fillId="0" borderId="2" xfId="0" applyFont="1" applyBorder="1" applyAlignment="1" applyProtection="1">
      <alignment horizontal="left" vertical="center" wrapText="1"/>
      <protection locked="0"/>
    </xf>
    <xf numFmtId="0" fontId="37" fillId="0" borderId="4" xfId="0" applyFont="1" applyBorder="1" applyAlignment="1" applyProtection="1">
      <alignment horizontal="left" vertical="center" wrapText="1"/>
      <protection locked="0"/>
    </xf>
    <xf numFmtId="0" fontId="37" fillId="0" borderId="3" xfId="0" applyFont="1" applyBorder="1" applyAlignment="1" applyProtection="1">
      <alignment horizontal="left" vertical="center" wrapText="1"/>
      <protection locked="0"/>
    </xf>
    <xf numFmtId="0" fontId="24" fillId="0" borderId="0" xfId="0" applyFont="1" applyAlignment="1" applyProtection="1">
      <alignment horizontal="center" vertical="center"/>
      <protection locked="0"/>
    </xf>
    <xf numFmtId="0" fontId="35" fillId="0" borderId="0" xfId="0" applyFont="1" applyAlignment="1" applyProtection="1">
      <alignment horizontal="left" vertical="center" wrapText="1"/>
      <protection locked="0"/>
    </xf>
    <xf numFmtId="0" fontId="22" fillId="33" borderId="5" xfId="0" applyFont="1" applyFill="1" applyBorder="1" applyAlignment="1">
      <alignment horizontal="center" vertical="center" wrapText="1"/>
    </xf>
    <xf numFmtId="0" fontId="22" fillId="33" borderId="17" xfId="0" applyFont="1" applyFill="1" applyBorder="1" applyAlignment="1">
      <alignment horizontal="center" vertical="center" wrapText="1"/>
    </xf>
    <xf numFmtId="0" fontId="71" fillId="37" borderId="2" xfId="0" applyFont="1" applyFill="1" applyBorder="1" applyAlignment="1">
      <alignment horizontal="center" vertical="center" wrapText="1"/>
    </xf>
    <xf numFmtId="0" fontId="71" fillId="37" borderId="4" xfId="0" applyFont="1" applyFill="1" applyBorder="1" applyAlignment="1">
      <alignment horizontal="center" vertical="center" wrapText="1"/>
    </xf>
    <xf numFmtId="0" fontId="71" fillId="37" borderId="3" xfId="0" applyFont="1" applyFill="1" applyBorder="1" applyAlignment="1">
      <alignment horizontal="center" vertical="center" wrapText="1"/>
    </xf>
    <xf numFmtId="0" fontId="21" fillId="37" borderId="2" xfId="0" applyFont="1" applyFill="1" applyBorder="1" applyAlignment="1">
      <alignment horizontal="center" vertical="center" wrapText="1"/>
    </xf>
    <xf numFmtId="0" fontId="21" fillId="37" borderId="4" xfId="0" applyFont="1" applyFill="1" applyBorder="1" applyAlignment="1">
      <alignment horizontal="center" vertical="center" wrapText="1"/>
    </xf>
    <xf numFmtId="0" fontId="21" fillId="37" borderId="3" xfId="0" applyFont="1" applyFill="1" applyBorder="1" applyAlignment="1">
      <alignment horizontal="center" vertical="center" wrapText="1"/>
    </xf>
    <xf numFmtId="0" fontId="22" fillId="33" borderId="2" xfId="0" applyFont="1" applyFill="1" applyBorder="1" applyAlignment="1">
      <alignment horizontal="left" vertical="justify" wrapText="1"/>
    </xf>
    <xf numFmtId="0" fontId="22" fillId="33" borderId="4" xfId="0" applyFont="1" applyFill="1" applyBorder="1" applyAlignment="1">
      <alignment horizontal="left" vertical="justify" wrapText="1"/>
    </xf>
    <xf numFmtId="0" fontId="22" fillId="33" borderId="3" xfId="0" applyFont="1" applyFill="1" applyBorder="1" applyAlignment="1">
      <alignment horizontal="left" vertical="justify" wrapText="1"/>
    </xf>
    <xf numFmtId="0" fontId="21" fillId="34" borderId="0" xfId="0" applyFont="1" applyFill="1" applyAlignment="1">
      <alignment horizontal="left" vertical="center"/>
    </xf>
    <xf numFmtId="0" fontId="27" fillId="33" borderId="0" xfId="0" applyFont="1" applyFill="1" applyAlignment="1">
      <alignment horizontal="left" vertical="center" wrapText="1"/>
    </xf>
    <xf numFmtId="0" fontId="21" fillId="35" borderId="0" xfId="0" applyFont="1" applyFill="1" applyAlignment="1">
      <alignment horizontal="left" vertical="center"/>
    </xf>
    <xf numFmtId="0" fontId="27" fillId="33" borderId="0" xfId="0" applyFont="1" applyFill="1" applyAlignment="1">
      <alignment horizontal="center" vertical="center" wrapText="1"/>
    </xf>
    <xf numFmtId="0" fontId="24" fillId="33" borderId="0" xfId="0" applyFont="1" applyFill="1" applyAlignment="1">
      <alignment horizontal="center" vertical="center"/>
    </xf>
    <xf numFmtId="0" fontId="21" fillId="35" borderId="0" xfId="0" applyFont="1" applyFill="1" applyAlignment="1">
      <alignment horizontal="center" vertical="center"/>
    </xf>
    <xf numFmtId="0" fontId="22" fillId="33" borderId="0" xfId="0" applyFont="1" applyFill="1" applyAlignment="1">
      <alignment horizontal="center" vertical="center"/>
    </xf>
    <xf numFmtId="0" fontId="22" fillId="33" borderId="0" xfId="0" applyFont="1" applyFill="1" applyAlignment="1">
      <alignment horizontal="left" vertical="center" wrapText="1"/>
    </xf>
    <xf numFmtId="0" fontId="22" fillId="33" borderId="0" xfId="0" applyFont="1" applyFill="1" applyAlignment="1">
      <alignment horizontal="left" vertical="center"/>
    </xf>
    <xf numFmtId="0" fontId="28" fillId="33" borderId="0" xfId="0" applyFont="1" applyFill="1" applyAlignment="1">
      <alignment horizontal="center" vertical="center" wrapText="1"/>
    </xf>
    <xf numFmtId="0" fontId="27" fillId="33" borderId="0" xfId="0" applyFont="1" applyFill="1" applyAlignment="1">
      <alignment horizontal="distributed" vertical="center" wrapText="1"/>
    </xf>
    <xf numFmtId="0" fontId="27" fillId="33" borderId="0" xfId="0" applyFont="1" applyFill="1" applyAlignment="1">
      <alignment horizontal="justify" vertical="center" wrapText="1"/>
    </xf>
    <xf numFmtId="0" fontId="29" fillId="33" borderId="0" xfId="0" applyFont="1" applyFill="1" applyAlignment="1">
      <alignment horizontal="left" vertical="center" wrapText="1"/>
    </xf>
    <xf numFmtId="0" fontId="21" fillId="34" borderId="0" xfId="0" applyFont="1" applyFill="1" applyAlignment="1">
      <alignment horizontal="center" vertical="center"/>
    </xf>
    <xf numFmtId="0" fontId="24" fillId="36" borderId="0" xfId="0" applyFont="1" applyFill="1" applyAlignment="1">
      <alignment horizontal="left" vertical="center" wrapText="1"/>
    </xf>
    <xf numFmtId="0" fontId="27" fillId="0" borderId="0" xfId="0" applyFont="1" applyAlignment="1">
      <alignment horizontal="left" vertical="center" wrapText="1"/>
    </xf>
    <xf numFmtId="0" fontId="22" fillId="33" borderId="0" xfId="0" applyFont="1" applyFill="1" applyAlignment="1">
      <alignment horizontal="center" vertical="top" wrapText="1"/>
    </xf>
    <xf numFmtId="0" fontId="23" fillId="33" borderId="0" xfId="0" applyFont="1" applyFill="1" applyAlignment="1">
      <alignment horizontal="center" vertical="center"/>
    </xf>
    <xf numFmtId="0" fontId="27" fillId="33" borderId="0" xfId="0" applyFont="1" applyFill="1" applyAlignment="1">
      <alignment horizontal="left" vertical="top" wrapText="1"/>
    </xf>
    <xf numFmtId="0" fontId="21" fillId="35" borderId="0" xfId="0" applyFont="1" applyFill="1" applyAlignment="1">
      <alignment horizontal="left" vertical="center" wrapText="1"/>
    </xf>
    <xf numFmtId="0" fontId="24" fillId="33" borderId="1" xfId="0" applyFont="1" applyFill="1" applyBorder="1" applyAlignment="1">
      <alignment horizontal="center" vertical="top" wrapText="1"/>
    </xf>
    <xf numFmtId="0" fontId="27" fillId="0" borderId="23" xfId="0" applyFont="1" applyBorder="1" applyAlignment="1" applyProtection="1">
      <alignment horizontal="center" vertical="center" wrapText="1"/>
      <protection locked="0"/>
    </xf>
    <xf numFmtId="0" fontId="27" fillId="0" borderId="24" xfId="0" applyFont="1" applyBorder="1" applyAlignment="1" applyProtection="1">
      <alignment horizontal="center" vertical="center" wrapText="1"/>
      <protection locked="0"/>
    </xf>
    <xf numFmtId="0" fontId="21" fillId="34" borderId="18" xfId="0" applyFont="1" applyFill="1" applyBorder="1" applyAlignment="1">
      <alignment horizontal="center" vertical="center"/>
    </xf>
    <xf numFmtId="0" fontId="21" fillId="34" borderId="19" xfId="0" applyFont="1" applyFill="1" applyBorder="1" applyAlignment="1">
      <alignment horizontal="center" vertical="center"/>
    </xf>
    <xf numFmtId="0" fontId="21" fillId="34" borderId="20" xfId="0" applyFont="1" applyFill="1" applyBorder="1" applyAlignment="1">
      <alignment horizontal="center" vertical="center"/>
    </xf>
    <xf numFmtId="0" fontId="21" fillId="34" borderId="38" xfId="0" applyFont="1" applyFill="1" applyBorder="1" applyAlignment="1">
      <alignment horizontal="center" vertical="distributed"/>
    </xf>
    <xf numFmtId="0" fontId="21" fillId="34" borderId="39" xfId="0" applyFont="1" applyFill="1" applyBorder="1" applyAlignment="1">
      <alignment horizontal="center" vertical="distributed"/>
    </xf>
    <xf numFmtId="0" fontId="27" fillId="0" borderId="21" xfId="0" applyFont="1" applyBorder="1" applyAlignment="1" applyProtection="1">
      <alignment horizontal="center" vertical="center" wrapText="1"/>
      <protection locked="0"/>
    </xf>
    <xf numFmtId="0" fontId="27" fillId="0" borderId="1" xfId="0" applyFont="1" applyBorder="1" applyAlignment="1" applyProtection="1">
      <alignment horizontal="center" vertical="center" wrapText="1"/>
      <protection locked="0"/>
    </xf>
    <xf numFmtId="0" fontId="21" fillId="34" borderId="21" xfId="0" applyFont="1" applyFill="1" applyBorder="1" applyAlignment="1">
      <alignment horizontal="center" vertical="center"/>
    </xf>
    <xf numFmtId="0" fontId="21" fillId="34" borderId="1" xfId="0" applyFont="1" applyFill="1" applyBorder="1" applyAlignment="1">
      <alignment horizontal="center" vertical="center"/>
    </xf>
    <xf numFmtId="0" fontId="25" fillId="36" borderId="0" xfId="0" applyFont="1" applyFill="1" applyAlignment="1">
      <alignment horizontal="center" vertical="center" wrapText="1"/>
    </xf>
    <xf numFmtId="0" fontId="22" fillId="33" borderId="2" xfId="0" applyFont="1" applyFill="1" applyBorder="1" applyAlignment="1">
      <alignment horizontal="left" vertical="center" wrapText="1"/>
    </xf>
    <xf numFmtId="0" fontId="22" fillId="33" borderId="3" xfId="0" applyFont="1" applyFill="1" applyBorder="1" applyAlignment="1">
      <alignment horizontal="left" vertical="center" wrapText="1"/>
    </xf>
    <xf numFmtId="0" fontId="21" fillId="36" borderId="2" xfId="0" applyFont="1" applyFill="1" applyBorder="1" applyAlignment="1">
      <alignment horizontal="center" vertical="center" wrapText="1"/>
    </xf>
    <xf numFmtId="0" fontId="21" fillId="36" borderId="3" xfId="0" applyFont="1" applyFill="1" applyBorder="1" applyAlignment="1">
      <alignment horizontal="center" vertical="center" wrapText="1"/>
    </xf>
    <xf numFmtId="0" fontId="24" fillId="33" borderId="15" xfId="0" applyFont="1" applyFill="1" applyBorder="1" applyAlignment="1">
      <alignment horizontal="right" vertical="center"/>
    </xf>
    <xf numFmtId="0" fontId="21" fillId="33" borderId="2" xfId="0" applyFont="1" applyFill="1" applyBorder="1" applyAlignment="1">
      <alignment horizontal="center" vertical="center" wrapText="1"/>
    </xf>
    <xf numFmtId="0" fontId="21" fillId="33" borderId="4" xfId="0" applyFont="1" applyFill="1" applyBorder="1" applyAlignment="1">
      <alignment horizontal="center" vertical="center" wrapText="1"/>
    </xf>
    <xf numFmtId="0" fontId="21" fillId="33" borderId="3" xfId="0" applyFont="1" applyFill="1" applyBorder="1" applyAlignment="1">
      <alignment horizontal="center" vertical="center" wrapText="1"/>
    </xf>
    <xf numFmtId="0" fontId="21" fillId="33" borderId="1" xfId="0" applyFont="1" applyFill="1" applyBorder="1" applyAlignment="1">
      <alignment horizontal="center" vertical="center" wrapText="1"/>
    </xf>
    <xf numFmtId="0" fontId="21" fillId="36" borderId="1" xfId="0" applyFont="1" applyFill="1" applyBorder="1" applyAlignment="1">
      <alignment horizontal="left" vertical="center" wrapText="1"/>
    </xf>
    <xf numFmtId="0" fontId="24" fillId="33" borderId="0" xfId="0" applyFont="1" applyFill="1" applyAlignment="1">
      <alignment horizontal="right" vertical="center"/>
    </xf>
    <xf numFmtId="0" fontId="22" fillId="0" borderId="1" xfId="0" applyFont="1" applyBorder="1" applyAlignment="1">
      <alignment horizontal="center" vertical="center" wrapText="1"/>
    </xf>
    <xf numFmtId="0" fontId="22" fillId="33" borderId="1" xfId="0" applyFont="1" applyFill="1" applyBorder="1" applyAlignment="1">
      <alignment horizontal="left" vertical="center" wrapText="1"/>
    </xf>
    <xf numFmtId="0" fontId="25" fillId="33"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9" fillId="33" borderId="1" xfId="0" applyFont="1" applyFill="1" applyBorder="1" applyAlignment="1">
      <alignment horizontal="left" vertical="center" wrapText="1"/>
    </xf>
    <xf numFmtId="0" fontId="25" fillId="36" borderId="1" xfId="0" applyFont="1" applyFill="1" applyBorder="1" applyAlignment="1">
      <alignment horizontal="left" vertical="center" wrapText="1"/>
    </xf>
    <xf numFmtId="0" fontId="27" fillId="33" borderId="2" xfId="0" applyFont="1" applyFill="1" applyBorder="1" applyAlignment="1">
      <alignment horizontal="left" vertical="center" wrapText="1"/>
    </xf>
    <xf numFmtId="0" fontId="27" fillId="33" borderId="3" xfId="0" applyFont="1" applyFill="1" applyBorder="1" applyAlignment="1">
      <alignment horizontal="left" vertical="center" wrapText="1"/>
    </xf>
    <xf numFmtId="0" fontId="22" fillId="0" borderId="2" xfId="0" applyFont="1" applyBorder="1" applyAlignment="1">
      <alignment horizontal="left" vertical="center" wrapText="1"/>
    </xf>
    <xf numFmtId="0" fontId="22" fillId="0" borderId="3" xfId="0" applyFont="1" applyBorder="1" applyAlignment="1">
      <alignment horizontal="left" vertical="center" wrapText="1"/>
    </xf>
    <xf numFmtId="0" fontId="22" fillId="33" borderId="2" xfId="0" applyFont="1" applyFill="1" applyBorder="1" applyAlignment="1">
      <alignment horizontal="left" vertical="center"/>
    </xf>
    <xf numFmtId="0" fontId="22" fillId="33" borderId="3" xfId="0" applyFont="1" applyFill="1" applyBorder="1" applyAlignment="1">
      <alignment horizontal="left" vertical="center"/>
    </xf>
    <xf numFmtId="0" fontId="27" fillId="33" borderId="1" xfId="0" applyFont="1" applyFill="1" applyBorder="1" applyAlignment="1">
      <alignment horizontal="left" vertical="center" wrapText="1"/>
    </xf>
    <xf numFmtId="0" fontId="21" fillId="35" borderId="15" xfId="0" applyFont="1" applyFill="1" applyBorder="1" applyAlignment="1">
      <alignment horizontal="center" vertical="center"/>
    </xf>
    <xf numFmtId="0" fontId="21" fillId="35" borderId="0" xfId="0" applyFont="1" applyFill="1" applyAlignment="1">
      <alignment horizontal="center" vertical="center" wrapText="1"/>
    </xf>
    <xf numFmtId="0" fontId="21" fillId="36" borderId="0" xfId="0" applyFont="1" applyFill="1" applyAlignment="1">
      <alignment horizontal="center" vertical="center"/>
    </xf>
    <xf numFmtId="0" fontId="29" fillId="33" borderId="1" xfId="0" applyFont="1" applyFill="1" applyBorder="1" applyAlignment="1">
      <alignment horizontal="left" vertical="top" wrapText="1"/>
    </xf>
    <xf numFmtId="0" fontId="25" fillId="33" borderId="15" xfId="0" applyFont="1" applyFill="1" applyBorder="1" applyAlignment="1">
      <alignment horizontal="right" vertical="center" wrapText="1"/>
    </xf>
    <xf numFmtId="0" fontId="21" fillId="37" borderId="2" xfId="0" applyFont="1" applyFill="1" applyBorder="1" applyAlignment="1">
      <alignment horizontal="center" vertical="center"/>
    </xf>
    <xf numFmtId="0" fontId="21" fillId="37" borderId="4" xfId="0" applyFont="1" applyFill="1" applyBorder="1" applyAlignment="1">
      <alignment horizontal="center" vertical="center"/>
    </xf>
    <xf numFmtId="0" fontId="69" fillId="37" borderId="2" xfId="0" applyFont="1" applyFill="1" applyBorder="1" applyAlignment="1">
      <alignment horizontal="right" vertical="center"/>
    </xf>
    <xf numFmtId="0" fontId="69" fillId="37" borderId="4" xfId="0" applyFont="1" applyFill="1" applyBorder="1" applyAlignment="1">
      <alignment horizontal="right" vertical="center"/>
    </xf>
    <xf numFmtId="0" fontId="69" fillId="37" borderId="3" xfId="0" applyFont="1" applyFill="1" applyBorder="1" applyAlignment="1">
      <alignment horizontal="right" vertical="center"/>
    </xf>
    <xf numFmtId="0" fontId="73" fillId="37" borderId="1" xfId="0" applyFont="1" applyFill="1" applyBorder="1" applyAlignment="1">
      <alignment horizontal="center" vertical="center"/>
    </xf>
    <xf numFmtId="0" fontId="67" fillId="37" borderId="2" xfId="0" applyFont="1" applyFill="1" applyBorder="1" applyAlignment="1">
      <alignment horizontal="center" vertical="center" wrapText="1"/>
    </xf>
    <xf numFmtId="0" fontId="13" fillId="37" borderId="3" xfId="0" applyFont="1" applyFill="1" applyBorder="1" applyAlignment="1">
      <alignment horizontal="center" vertical="center" wrapText="1"/>
    </xf>
    <xf numFmtId="0" fontId="66" fillId="37" borderId="5" xfId="0" applyFont="1" applyFill="1" applyBorder="1" applyAlignment="1">
      <alignment horizontal="center" vertical="center" wrapText="1"/>
    </xf>
    <xf numFmtId="0" fontId="34" fillId="37" borderId="17" xfId="0" applyFont="1" applyFill="1" applyBorder="1" applyAlignment="1">
      <alignment horizontal="center" vertical="center" wrapText="1"/>
    </xf>
    <xf numFmtId="0" fontId="34" fillId="37" borderId="16" xfId="0" applyFont="1" applyFill="1" applyBorder="1" applyAlignment="1">
      <alignment horizontal="center" vertical="center" wrapText="1"/>
    </xf>
    <xf numFmtId="1" fontId="66" fillId="37" borderId="5" xfId="0" applyNumberFormat="1" applyFont="1" applyFill="1" applyBorder="1" applyAlignment="1">
      <alignment horizontal="center" vertical="center" wrapText="1"/>
    </xf>
    <xf numFmtId="1" fontId="34" fillId="37" borderId="17" xfId="0" applyNumberFormat="1" applyFont="1" applyFill="1" applyBorder="1" applyAlignment="1">
      <alignment horizontal="center" vertical="center" wrapText="1"/>
    </xf>
    <xf numFmtId="1" fontId="34" fillId="37" borderId="16" xfId="0" applyNumberFormat="1" applyFont="1" applyFill="1" applyBorder="1" applyAlignment="1">
      <alignment horizontal="center" vertical="center" wrapText="1"/>
    </xf>
    <xf numFmtId="0" fontId="67" fillId="37" borderId="5" xfId="0" applyFont="1" applyFill="1" applyBorder="1" applyAlignment="1">
      <alignment horizontal="center" vertical="center" wrapText="1"/>
    </xf>
    <xf numFmtId="0" fontId="13" fillId="37" borderId="16" xfId="0" applyFont="1" applyFill="1" applyBorder="1" applyAlignment="1">
      <alignment horizontal="center" vertical="center" wrapText="1"/>
    </xf>
    <xf numFmtId="0" fontId="25" fillId="37" borderId="5" xfId="0" applyFont="1" applyFill="1" applyBorder="1" applyAlignment="1">
      <alignment horizontal="center" vertical="center" wrapText="1"/>
    </xf>
    <xf numFmtId="0" fontId="25" fillId="37" borderId="16" xfId="0" applyFont="1" applyFill="1" applyBorder="1" applyAlignment="1">
      <alignment horizontal="center" vertical="center" wrapText="1"/>
    </xf>
    <xf numFmtId="0" fontId="16" fillId="37" borderId="5" xfId="0" applyFont="1" applyFill="1" applyBorder="1" applyAlignment="1">
      <alignment horizontal="center" vertical="center" wrapText="1"/>
    </xf>
    <xf numFmtId="0" fontId="16" fillId="37" borderId="16" xfId="0" applyFont="1" applyFill="1" applyBorder="1" applyAlignment="1">
      <alignment horizontal="center" vertical="center" wrapText="1"/>
    </xf>
    <xf numFmtId="0" fontId="67" fillId="37" borderId="16" xfId="0" applyFont="1" applyFill="1" applyBorder="1" applyAlignment="1">
      <alignment horizontal="center" vertical="center" wrapText="1"/>
    </xf>
    <xf numFmtId="0" fontId="73" fillId="37" borderId="2" xfId="0" applyFont="1" applyFill="1" applyBorder="1" applyAlignment="1">
      <alignment horizontal="center" vertical="center"/>
    </xf>
    <xf numFmtId="0" fontId="73" fillId="37" borderId="4" xfId="0" applyFont="1" applyFill="1" applyBorder="1" applyAlignment="1">
      <alignment horizontal="center" vertical="center"/>
    </xf>
    <xf numFmtId="0" fontId="73" fillId="37" borderId="3" xfId="0" applyFont="1" applyFill="1" applyBorder="1" applyAlignment="1">
      <alignment horizontal="center" vertical="center"/>
    </xf>
    <xf numFmtId="0" fontId="66" fillId="37" borderId="41" xfId="0" applyFont="1" applyFill="1" applyBorder="1" applyAlignment="1">
      <alignment horizontal="center" vertical="center" wrapText="1"/>
    </xf>
    <xf numFmtId="0" fontId="66" fillId="37" borderId="46" xfId="0" applyFont="1" applyFill="1" applyBorder="1" applyAlignment="1">
      <alignment horizontal="center" vertical="center" wrapText="1"/>
    </xf>
    <xf numFmtId="0" fontId="66" fillId="37" borderId="45" xfId="0" applyFont="1" applyFill="1" applyBorder="1" applyAlignment="1">
      <alignment horizontal="center" vertical="center" wrapText="1"/>
    </xf>
    <xf numFmtId="0" fontId="67" fillId="37" borderId="1" xfId="0" applyFont="1" applyFill="1" applyBorder="1" applyAlignment="1">
      <alignment horizontal="center" vertical="center" wrapText="1"/>
    </xf>
    <xf numFmtId="0" fontId="68" fillId="37" borderId="1" xfId="0" applyFont="1" applyFill="1" applyBorder="1" applyAlignment="1">
      <alignment horizontal="center" vertical="center"/>
    </xf>
    <xf numFmtId="0" fontId="66" fillId="37" borderId="2" xfId="0" applyFont="1" applyFill="1" applyBorder="1" applyAlignment="1">
      <alignment horizontal="center" vertical="center"/>
    </xf>
    <xf numFmtId="0" fontId="34" fillId="37" borderId="4" xfId="0" applyFont="1" applyFill="1" applyBorder="1" applyAlignment="1">
      <alignment horizontal="center" vertical="center"/>
    </xf>
    <xf numFmtId="0" fontId="34" fillId="37" borderId="3" xfId="0" applyFont="1" applyFill="1" applyBorder="1" applyAlignment="1">
      <alignment horizontal="center" vertical="center"/>
    </xf>
    <xf numFmtId="0" fontId="16" fillId="37" borderId="2" xfId="0" applyFont="1" applyFill="1" applyBorder="1" applyAlignment="1">
      <alignment horizontal="center" vertical="center"/>
    </xf>
    <xf numFmtId="0" fontId="16" fillId="37" borderId="4" xfId="0" applyFont="1" applyFill="1" applyBorder="1" applyAlignment="1">
      <alignment horizontal="center" vertical="center"/>
    </xf>
    <xf numFmtId="0" fontId="16" fillId="37" borderId="3" xfId="0" applyFont="1" applyFill="1" applyBorder="1" applyAlignment="1">
      <alignment horizontal="center" vertical="center"/>
    </xf>
    <xf numFmtId="0" fontId="69" fillId="37" borderId="2" xfId="0" applyFont="1" applyFill="1" applyBorder="1" applyAlignment="1">
      <alignment horizontal="center" vertical="center"/>
    </xf>
    <xf numFmtId="0" fontId="69" fillId="37" borderId="4" xfId="0" applyFont="1" applyFill="1" applyBorder="1" applyAlignment="1">
      <alignment horizontal="center" vertical="center"/>
    </xf>
    <xf numFmtId="0" fontId="69" fillId="37" borderId="3" xfId="0" applyFont="1" applyFill="1" applyBorder="1" applyAlignment="1">
      <alignment horizontal="center" vertical="center"/>
    </xf>
    <xf numFmtId="0" fontId="69" fillId="37" borderId="5" xfId="0" applyFont="1" applyFill="1" applyBorder="1" applyAlignment="1">
      <alignment horizontal="center" vertical="center" wrapText="1"/>
    </xf>
    <xf numFmtId="0" fontId="69" fillId="37" borderId="17" xfId="0" applyFont="1" applyFill="1" applyBorder="1" applyAlignment="1">
      <alignment horizontal="center" vertical="center" wrapText="1"/>
    </xf>
    <xf numFmtId="0" fontId="69" fillId="37" borderId="16" xfId="0" applyFont="1" applyFill="1" applyBorder="1" applyAlignment="1">
      <alignment horizontal="center" vertical="center" wrapText="1"/>
    </xf>
    <xf numFmtId="0" fontId="16" fillId="37" borderId="2" xfId="0" applyFont="1" applyFill="1" applyBorder="1" applyAlignment="1">
      <alignment horizontal="center" vertical="center" wrapText="1"/>
    </xf>
    <xf numFmtId="0" fontId="16" fillId="37" borderId="3" xfId="0" applyFont="1" applyFill="1" applyBorder="1" applyAlignment="1">
      <alignment horizontal="center" vertical="center" wrapText="1"/>
    </xf>
    <xf numFmtId="0" fontId="16" fillId="37" borderId="1" xfId="0" applyFont="1" applyFill="1" applyBorder="1" applyAlignment="1">
      <alignment horizontal="center" vertical="center" wrapText="1"/>
    </xf>
    <xf numFmtId="0" fontId="69" fillId="37" borderId="41" xfId="0" applyFont="1" applyFill="1" applyBorder="1" applyAlignment="1">
      <alignment horizontal="center" vertical="center" wrapText="1"/>
    </xf>
    <xf numFmtId="0" fontId="69" fillId="37" borderId="46" xfId="0" applyFont="1" applyFill="1" applyBorder="1" applyAlignment="1">
      <alignment horizontal="center" vertical="center" wrapText="1"/>
    </xf>
    <xf numFmtId="0" fontId="69" fillId="37" borderId="45" xfId="0" applyFont="1" applyFill="1" applyBorder="1" applyAlignment="1">
      <alignment horizontal="center" vertical="center" wrapText="1"/>
    </xf>
    <xf numFmtId="0" fontId="16" fillId="37" borderId="43" xfId="0" applyFont="1" applyFill="1" applyBorder="1" applyAlignment="1">
      <alignment horizontal="center" vertical="center" wrapText="1"/>
    </xf>
    <xf numFmtId="0" fontId="16" fillId="37" borderId="44" xfId="0" applyFont="1" applyFill="1" applyBorder="1" applyAlignment="1">
      <alignment horizontal="center" vertical="center" wrapText="1"/>
    </xf>
    <xf numFmtId="0" fontId="67" fillId="37" borderId="2" xfId="0" applyFont="1" applyFill="1" applyBorder="1" applyAlignment="1">
      <alignment horizontal="center" vertical="center"/>
    </xf>
    <xf numFmtId="0" fontId="67" fillId="37" borderId="4" xfId="0" applyFont="1" applyFill="1" applyBorder="1" applyAlignment="1">
      <alignment horizontal="center" vertical="center"/>
    </xf>
    <xf numFmtId="0" fontId="67" fillId="37" borderId="3" xfId="0" applyFont="1" applyFill="1" applyBorder="1" applyAlignment="1">
      <alignment horizontal="center" vertical="center"/>
    </xf>
    <xf numFmtId="0" fontId="67" fillId="37" borderId="43" xfId="0" applyFont="1" applyFill="1" applyBorder="1" applyAlignment="1">
      <alignment horizontal="center" vertical="center"/>
    </xf>
    <xf numFmtId="0" fontId="67" fillId="37" borderId="15" xfId="0" applyFont="1" applyFill="1" applyBorder="1" applyAlignment="1">
      <alignment horizontal="center" vertical="center"/>
    </xf>
    <xf numFmtId="0" fontId="67" fillId="37" borderId="44" xfId="0" applyFont="1" applyFill="1" applyBorder="1" applyAlignment="1">
      <alignment horizontal="center" vertical="center"/>
    </xf>
    <xf numFmtId="0" fontId="16" fillId="37" borderId="17" xfId="0" applyFont="1" applyFill="1" applyBorder="1" applyAlignment="1">
      <alignment horizontal="center" vertical="center" wrapText="1"/>
    </xf>
    <xf numFmtId="0" fontId="0" fillId="0" borderId="0" xfId="0" applyAlignment="1">
      <alignment horizontal="justify" vertical="distributed"/>
    </xf>
    <xf numFmtId="0" fontId="66" fillId="37" borderId="1" xfId="0" applyFont="1" applyFill="1" applyBorder="1" applyAlignment="1">
      <alignment horizontal="center" vertical="center" wrapText="1"/>
    </xf>
    <xf numFmtId="0" fontId="34" fillId="37" borderId="1" xfId="0" applyFont="1" applyFill="1" applyBorder="1" applyAlignment="1">
      <alignment horizontal="center" vertical="center" wrapText="1"/>
    </xf>
    <xf numFmtId="0" fontId="25" fillId="37" borderId="1" xfId="0" applyFont="1" applyFill="1" applyBorder="1" applyAlignment="1">
      <alignment horizontal="center" vertical="center" wrapText="1"/>
    </xf>
    <xf numFmtId="0" fontId="13" fillId="37" borderId="1" xfId="0" applyFont="1" applyFill="1" applyBorder="1" applyAlignment="1">
      <alignment horizontal="center" vertical="center" wrapText="1"/>
    </xf>
    <xf numFmtId="0" fontId="0" fillId="33" borderId="1" xfId="0" applyFill="1" applyBorder="1" applyAlignment="1">
      <alignment horizontal="left" vertical="center" wrapText="1"/>
    </xf>
    <xf numFmtId="0" fontId="69" fillId="37" borderId="1" xfId="0" applyFont="1" applyFill="1" applyBorder="1" applyAlignment="1">
      <alignment horizontal="center" vertical="center" wrapText="1"/>
    </xf>
    <xf numFmtId="0" fontId="75" fillId="37" borderId="5" xfId="0" applyFont="1" applyFill="1" applyBorder="1" applyAlignment="1">
      <alignment horizontal="center" vertical="center" wrapText="1"/>
    </xf>
    <xf numFmtId="0" fontId="75" fillId="37" borderId="17" xfId="0" applyFont="1" applyFill="1" applyBorder="1" applyAlignment="1">
      <alignment horizontal="center" vertical="center" wrapText="1"/>
    </xf>
    <xf numFmtId="0" fontId="75" fillId="37" borderId="16" xfId="0" applyFont="1" applyFill="1" applyBorder="1" applyAlignment="1">
      <alignment horizontal="center" vertical="center" wrapText="1"/>
    </xf>
    <xf numFmtId="0" fontId="24" fillId="37" borderId="2" xfId="0" applyFont="1" applyFill="1" applyBorder="1" applyAlignment="1">
      <alignment horizontal="center" vertical="center" wrapText="1"/>
    </xf>
    <xf numFmtId="0" fontId="24" fillId="37" borderId="3" xfId="0" applyFont="1" applyFill="1" applyBorder="1" applyAlignment="1">
      <alignment horizontal="center" vertical="center" wrapText="1"/>
    </xf>
    <xf numFmtId="169" fontId="24" fillId="0" borderId="1" xfId="0" applyNumberFormat="1" applyFont="1" applyBorder="1" applyAlignment="1">
      <alignment horizontal="center" vertical="center" wrapText="1"/>
    </xf>
    <xf numFmtId="2" fontId="24" fillId="0" borderId="1" xfId="0" applyNumberFormat="1" applyFont="1" applyBorder="1" applyAlignment="1">
      <alignment horizontal="center" vertical="center" wrapText="1"/>
    </xf>
    <xf numFmtId="1" fontId="24" fillId="0" borderId="1" xfId="0" applyNumberFormat="1" applyFont="1" applyBorder="1" applyAlignment="1">
      <alignment horizontal="center" vertical="center" wrapText="1"/>
    </xf>
    <xf numFmtId="0" fontId="24" fillId="37" borderId="4" xfId="0" applyFont="1" applyFill="1" applyBorder="1" applyAlignment="1">
      <alignment horizontal="center" vertical="center" wrapText="1"/>
    </xf>
    <xf numFmtId="0" fontId="24" fillId="37" borderId="5" xfId="0" applyFont="1" applyFill="1" applyBorder="1" applyAlignment="1">
      <alignment horizontal="center" vertical="center" wrapText="1"/>
    </xf>
    <xf numFmtId="0" fontId="24" fillId="37" borderId="16" xfId="0" applyFont="1" applyFill="1" applyBorder="1" applyAlignment="1">
      <alignment horizontal="center" vertical="center" wrapText="1"/>
    </xf>
    <xf numFmtId="3" fontId="24" fillId="37" borderId="1" xfId="0" applyNumberFormat="1" applyFont="1" applyFill="1" applyBorder="1" applyAlignment="1">
      <alignment horizontal="center" vertical="center" wrapText="1"/>
    </xf>
    <xf numFmtId="178" fontId="24" fillId="37" borderId="1" xfId="1" applyNumberFormat="1" applyFont="1" applyFill="1" applyBorder="1" applyAlignment="1">
      <alignment horizontal="center" vertical="center" wrapText="1"/>
    </xf>
    <xf numFmtId="176" fontId="24" fillId="37" borderId="1" xfId="1" applyNumberFormat="1" applyFont="1" applyFill="1" applyBorder="1" applyAlignment="1">
      <alignment horizontal="center" vertical="center" wrapText="1"/>
    </xf>
    <xf numFmtId="177" fontId="24" fillId="37" borderId="1" xfId="1" applyNumberFormat="1" applyFont="1" applyFill="1" applyBorder="1" applyAlignment="1">
      <alignment horizontal="center" vertical="center" wrapText="1"/>
    </xf>
    <xf numFmtId="0" fontId="24" fillId="37" borderId="1" xfId="0" applyFont="1" applyFill="1" applyBorder="1" applyAlignment="1">
      <alignment horizontal="center" vertical="center" wrapText="1"/>
    </xf>
    <xf numFmtId="0" fontId="24" fillId="37" borderId="1" xfId="0" applyFont="1" applyFill="1" applyBorder="1" applyAlignment="1">
      <alignment horizontal="left" vertical="center" wrapText="1"/>
    </xf>
    <xf numFmtId="0" fontId="27" fillId="0" borderId="1" xfId="0" applyFont="1" applyBorder="1" applyAlignment="1">
      <alignment horizontal="left" vertical="center" wrapText="1"/>
    </xf>
    <xf numFmtId="3" fontId="0" fillId="0" borderId="41" xfId="0" applyNumberFormat="1" applyBorder="1" applyAlignment="1">
      <alignment horizontal="center" vertical="center"/>
    </xf>
    <xf numFmtId="164" fontId="0" fillId="0" borderId="47" xfId="0" applyNumberFormat="1" applyBorder="1" applyAlignment="1">
      <alignment horizontal="center" vertical="center"/>
    </xf>
    <xf numFmtId="44" fontId="0" fillId="0" borderId="1" xfId="1" applyNumberFormat="1" applyFont="1" applyBorder="1"/>
    <xf numFmtId="44" fontId="0" fillId="0" borderId="1" xfId="1" applyNumberFormat="1" applyFont="1" applyFill="1" applyBorder="1" applyAlignment="1">
      <alignment horizontal="center" vertical="center"/>
    </xf>
    <xf numFmtId="44" fontId="0" fillId="0" borderId="1" xfId="1" applyNumberFormat="1" applyFont="1" applyFill="1" applyBorder="1"/>
    <xf numFmtId="44" fontId="0" fillId="0" borderId="5" xfId="1" applyNumberFormat="1" applyFont="1" applyFill="1" applyBorder="1"/>
    <xf numFmtId="0" fontId="21" fillId="33" borderId="0" xfId="0" applyFont="1" applyFill="1" applyBorder="1" applyAlignment="1">
      <alignment horizontal="center" vertical="center" wrapText="1"/>
    </xf>
    <xf numFmtId="0" fontId="22" fillId="33" borderId="0" xfId="0" applyFont="1" applyFill="1" applyBorder="1"/>
    <xf numFmtId="7" fontId="21" fillId="33" borderId="0" xfId="0" applyNumberFormat="1" applyFont="1" applyFill="1" applyBorder="1" applyAlignment="1">
      <alignment vertical="center" wrapText="1"/>
    </xf>
    <xf numFmtId="0" fontId="22" fillId="33" borderId="0" xfId="0" applyFont="1" applyFill="1" applyBorder="1" applyAlignment="1">
      <alignment horizontal="center" vertical="center" wrapText="1"/>
    </xf>
    <xf numFmtId="10" fontId="22" fillId="33" borderId="0" xfId="2" applyNumberFormat="1" applyFont="1" applyFill="1" applyBorder="1" applyAlignment="1">
      <alignment horizontal="center" vertical="center" wrapText="1"/>
    </xf>
    <xf numFmtId="7" fontId="24" fillId="34" borderId="0" xfId="54" applyNumberFormat="1" applyFont="1" applyFill="1" applyBorder="1" applyAlignment="1">
      <alignment vertical="center" wrapText="1"/>
    </xf>
  </cellXfs>
  <cellStyles count="137">
    <cellStyle name="20% - Ênfase1" xfId="20" builtinId="30" customBuiltin="1"/>
    <cellStyle name="20% - Ênfase1 2" xfId="67" xr:uid="{1E06591A-6219-4F1A-9E36-FC3A7E281582}"/>
    <cellStyle name="20% - Ênfase2" xfId="23" builtinId="34" customBuiltin="1"/>
    <cellStyle name="20% - Ênfase2 2" xfId="68" xr:uid="{74CECE38-64E6-4E6B-8ED8-B94F9360A5A6}"/>
    <cellStyle name="20% - Ênfase3" xfId="26" builtinId="38" customBuiltin="1"/>
    <cellStyle name="20% - Ênfase3 2" xfId="69" xr:uid="{F7270ED6-A81D-48A3-A25A-96430EDF36FE}"/>
    <cellStyle name="20% - Ênfase4" xfId="29" builtinId="42" customBuiltin="1"/>
    <cellStyle name="20% - Ênfase4 2" xfId="70" xr:uid="{AABF29B8-22CE-4C96-9DE0-1536972FAF50}"/>
    <cellStyle name="20% - Ênfase5" xfId="32" builtinId="46" customBuiltin="1"/>
    <cellStyle name="20% - Ênfase5 2" xfId="71" xr:uid="{92C4FF96-BB3A-44CE-B44F-B5A0098E0B4F}"/>
    <cellStyle name="20% - Ênfase6" xfId="35" builtinId="50" customBuiltin="1"/>
    <cellStyle name="20% - Ênfase6 2" xfId="72" xr:uid="{45A49F55-7CC0-4598-AE37-BA13D0AECA27}"/>
    <cellStyle name="40% - Ênfase1" xfId="21" builtinId="31" customBuiltin="1"/>
    <cellStyle name="40% - Ênfase1 2" xfId="73" xr:uid="{ABEB9A01-5371-478E-94F0-AC59AB0CCBF6}"/>
    <cellStyle name="40% - Ênfase2" xfId="24" builtinId="35" customBuiltin="1"/>
    <cellStyle name="40% - Ênfase2 2" xfId="74" xr:uid="{6CC0A771-3626-44BD-A9A1-14759840EB12}"/>
    <cellStyle name="40% - Ênfase3" xfId="27" builtinId="39" customBuiltin="1"/>
    <cellStyle name="40% - Ênfase3 2" xfId="75" xr:uid="{FA252F4D-1EA6-4362-8513-88B8D156C240}"/>
    <cellStyle name="40% - Ênfase4" xfId="30" builtinId="43" customBuiltin="1"/>
    <cellStyle name="40% - Ênfase4 2" xfId="76" xr:uid="{DE8C0B55-3EA7-4E6A-A434-6EA68629454A}"/>
    <cellStyle name="40% - Ênfase5" xfId="33" builtinId="47" customBuiltin="1"/>
    <cellStyle name="40% - Ênfase5 2" xfId="77" xr:uid="{ABE87AC5-B217-4725-A3FD-49807E270C0E}"/>
    <cellStyle name="40% - Ênfase6" xfId="36" builtinId="51" customBuiltin="1"/>
    <cellStyle name="40% - Ênfase6 2" xfId="78" xr:uid="{FFBF5079-C06E-46B1-BBCB-21A0AE83C04F}"/>
    <cellStyle name="60% - Ênfase1 2" xfId="42" xr:uid="{00000000-0005-0000-0000-00002F000000}"/>
    <cellStyle name="60% - Ênfase1 2 2" xfId="79" xr:uid="{CE28EDA5-A9E9-4ABB-BF01-F7ADA1C7C27A}"/>
    <cellStyle name="60% - Ênfase2 2" xfId="43" xr:uid="{00000000-0005-0000-0000-000030000000}"/>
    <cellStyle name="60% - Ênfase2 2 2" xfId="80" xr:uid="{AC47C34B-9532-4F10-B753-F7EC989EFFD0}"/>
    <cellStyle name="60% - Ênfase3 2" xfId="44" xr:uid="{00000000-0005-0000-0000-000031000000}"/>
    <cellStyle name="60% - Ênfase3 2 2" xfId="81" xr:uid="{9C66D4B8-6EFA-4B6D-8B22-5B559D36AB2F}"/>
    <cellStyle name="60% - Ênfase4 2" xfId="45" xr:uid="{00000000-0005-0000-0000-000032000000}"/>
    <cellStyle name="60% - Ênfase4 2 2" xfId="82" xr:uid="{3E721E4A-784C-447D-8580-4F980B1FEF4C}"/>
    <cellStyle name="60% - Ênfase5 2" xfId="46" xr:uid="{00000000-0005-0000-0000-000033000000}"/>
    <cellStyle name="60% - Ênfase5 2 2" xfId="83" xr:uid="{A2EC1699-02F5-44EA-8320-E6DD78C4CFF0}"/>
    <cellStyle name="60% - Ênfase6 2" xfId="47" xr:uid="{00000000-0005-0000-0000-000034000000}"/>
    <cellStyle name="60% - Ênfase6 2 2" xfId="84" xr:uid="{1097E8A0-7DF7-418A-A138-6768242758CF}"/>
    <cellStyle name="Bom" xfId="8" builtinId="26" customBuiltin="1"/>
    <cellStyle name="Bom 2" xfId="85" xr:uid="{23C92957-7159-4FFF-9031-55823D3ECF90}"/>
    <cellStyle name="Cálculo" xfId="12" builtinId="22" customBuiltin="1"/>
    <cellStyle name="Cálculo 2" xfId="86" xr:uid="{7EC3AC1E-1124-4BB8-AFB7-2CC97C00CC69}"/>
    <cellStyle name="Célula de Verificação" xfId="14" builtinId="23" customBuiltin="1"/>
    <cellStyle name="Célula de Verificação 2" xfId="87" xr:uid="{8A7D45F5-A023-4D3E-A667-6F57F32E0A15}"/>
    <cellStyle name="Célula Vinculada" xfId="13" builtinId="24" customBuiltin="1"/>
    <cellStyle name="Célula Vinculada 2" xfId="88" xr:uid="{4EBD1112-A933-404E-AF7A-BB4C4E1DC364}"/>
    <cellStyle name="Currency 2" xfId="122" xr:uid="{A0F00B19-9044-4DA6-A118-968DFD43B3E3}"/>
    <cellStyle name="Currency 3" xfId="124" xr:uid="{A0BF6461-D4A2-4E19-8B16-40B24C794907}"/>
    <cellStyle name="Currency 3 2" xfId="127" xr:uid="{176B8626-B1F0-43BA-B379-84B22D8C36CD}"/>
    <cellStyle name="Currency 3 3" xfId="131" xr:uid="{722C1B42-444C-439E-89A0-8AE49C2CB1AA}"/>
    <cellStyle name="Currency 3 4" xfId="135" xr:uid="{221D5456-4B18-4BEE-9580-E3C94E674B0C}"/>
    <cellStyle name="Ênfase1" xfId="19" builtinId="29" customBuiltin="1"/>
    <cellStyle name="Ênfase1 2" xfId="61" xr:uid="{9D6166C0-0D2D-47A0-94D0-C830DD17BE7B}"/>
    <cellStyle name="Ênfase2" xfId="22" builtinId="33" customBuiltin="1"/>
    <cellStyle name="Ênfase2 2" xfId="62" xr:uid="{AE818CC7-0805-4F9E-8956-BCC41A167168}"/>
    <cellStyle name="Ênfase3" xfId="25" builtinId="37" customBuiltin="1"/>
    <cellStyle name="Ênfase3 2" xfId="63" xr:uid="{F756F5C3-C564-43DF-9145-D8CC9FBFCE43}"/>
    <cellStyle name="Ênfase4" xfId="28" builtinId="41" customBuiltin="1"/>
    <cellStyle name="Ênfase4 2" xfId="64" xr:uid="{A9E3A8E5-43D0-4AA6-9AD6-319D6D10F545}"/>
    <cellStyle name="Ênfase5" xfId="31" builtinId="45" customBuiltin="1"/>
    <cellStyle name="Ênfase5 2" xfId="65" xr:uid="{27DB0B9F-9668-406B-B888-6C6C390AFFE1}"/>
    <cellStyle name="Ênfase6" xfId="34" builtinId="49" customBuiltin="1"/>
    <cellStyle name="Ênfase6 2" xfId="66" xr:uid="{DDA0AAC7-AD4A-4BC2-997C-13F6E7A779FD}"/>
    <cellStyle name="Entrada" xfId="10" builtinId="20" customBuiltin="1"/>
    <cellStyle name="Entrada 2" xfId="89" xr:uid="{763EBE08-A8F6-4B40-AA97-B734A64C9603}"/>
    <cellStyle name="Hiperlink" xfId="57" builtinId="8"/>
    <cellStyle name="Incorreto 2" xfId="90" xr:uid="{EB8647D5-F36B-43F8-A462-7FBC3E9A12B6}"/>
    <cellStyle name="Moeda" xfId="1" builtinId="4"/>
    <cellStyle name="Moeda 2" xfId="56" xr:uid="{DA13DCDA-A498-4EC4-AB5A-7FFCE5C0BF0D}"/>
    <cellStyle name="Moeda 2 2" xfId="91" xr:uid="{043945F3-C3EC-4D6E-957B-BAB9E3D30494}"/>
    <cellStyle name="Moeda 3" xfId="92" xr:uid="{E3663313-00D5-49A2-A3BB-8AD5FE857DB7}"/>
    <cellStyle name="Moeda 4" xfId="93" xr:uid="{E12EC7AB-81B5-42EB-8174-F7FD311EFF69}"/>
    <cellStyle name="Moeda 5" xfId="94" xr:uid="{F1E3D2A8-03F8-4A5C-88C7-0927688F5261}"/>
    <cellStyle name="Moeda 6" xfId="129" xr:uid="{45814D3B-CD70-4B28-8471-3257207068A1}"/>
    <cellStyle name="Moeda 7" xfId="59" xr:uid="{15B06607-52AC-4652-8ACE-2889BA254582}"/>
    <cellStyle name="Neutra 2" xfId="95" xr:uid="{D931663F-9F5D-4015-8E50-8DA576900191}"/>
    <cellStyle name="Neutro 2" xfId="41" xr:uid="{00000000-0005-0000-0000-000035000000}"/>
    <cellStyle name="Normal" xfId="0" builtinId="0"/>
    <cellStyle name="Normal 10" xfId="121" xr:uid="{9B3617DE-A4FA-4CCD-ADD1-BC9B7C1B85EE}"/>
    <cellStyle name="Normal 11" xfId="123" xr:uid="{34172DB6-5399-406D-AB2A-D0A5A2030489}"/>
    <cellStyle name="Normal 11 2" xfId="126" xr:uid="{FA8B21D1-D7F6-40B4-B555-A41F0FE174F3}"/>
    <cellStyle name="Normal 11 3" xfId="130" xr:uid="{B3F097C0-C575-4596-9B5A-0E548741BC77}"/>
    <cellStyle name="Normal 11 4" xfId="134" xr:uid="{D124C614-8044-4F1F-961F-49CBACC3DF0A}"/>
    <cellStyle name="Normal 12" xfId="58" xr:uid="{6F1ECFA1-E8C1-4ABA-8F30-EA6DA39F1A7D}"/>
    <cellStyle name="Normal 2" xfId="49" xr:uid="{00000000-0005-0000-0000-000020000000}"/>
    <cellStyle name="Normal 2 2" xfId="97" xr:uid="{6B2BD75E-FED5-4684-89F2-6CE77BA42DE5}"/>
    <cellStyle name="Normal 2 3" xfId="96" xr:uid="{763F46CC-C0FC-4543-BB99-1D9CBF6F4DBE}"/>
    <cellStyle name="Normal 3" xfId="98" xr:uid="{DB3BCA3F-9079-462B-AE41-8338BB3269F8}"/>
    <cellStyle name="Normal 4" xfId="99" xr:uid="{11CA8FAF-C7EF-4C74-A55E-DD29217A8D42}"/>
    <cellStyle name="Normal 5" xfId="100" xr:uid="{48247362-20E4-4D79-B441-ACB473523913}"/>
    <cellStyle name="Normal 6" xfId="101" xr:uid="{1C7D8519-8097-435D-A3B5-20CCD5889B51}"/>
    <cellStyle name="Normal 7" xfId="102" xr:uid="{EA72E113-832F-45C7-AF9B-B20C2DBAB44A}"/>
    <cellStyle name="Normal 8" xfId="103" xr:uid="{D68479AD-405D-42CB-9F7C-7DEF94EF884A}"/>
    <cellStyle name="Normal 9" xfId="120" xr:uid="{A6E37476-40A7-4019-8782-91EA0CE9BB78}"/>
    <cellStyle name="Nota" xfId="16" builtinId="10" customBuiltin="1"/>
    <cellStyle name="Nota 2" xfId="104" xr:uid="{B331B921-1CD1-429B-9EA9-A750BFB46B00}"/>
    <cellStyle name="Porcentagem" xfId="2" builtinId="5"/>
    <cellStyle name="Porcentagem 2" xfId="105" xr:uid="{1285DCE2-9DA5-4796-B8EF-EAF1F18CC895}"/>
    <cellStyle name="Porcentagem 3" xfId="106" xr:uid="{7262A65D-262A-4C3B-9F24-9A7BB6A64075}"/>
    <cellStyle name="Porcentagem 4" xfId="107" xr:uid="{1C9795A0-497F-4B98-BEB2-3B8F9F3B85E7}"/>
    <cellStyle name="Porcentagem 5" xfId="108" xr:uid="{9E5B121F-2195-4C8D-9BCE-0A052AA04BBB}"/>
    <cellStyle name="Porcentagem 6" xfId="133" xr:uid="{F2631915-D944-4431-AA4E-0527766FF6CE}"/>
    <cellStyle name="Porcentagem 7" xfId="60" xr:uid="{87830628-A455-4E4F-902C-90414E7912B3}"/>
    <cellStyle name="Ruim" xfId="9" builtinId="27" customBuiltin="1"/>
    <cellStyle name="Saída" xfId="11" builtinId="21" customBuiltin="1"/>
    <cellStyle name="Saída 2" xfId="109" xr:uid="{52BF19D3-16D9-4392-8CA2-27749E48B447}"/>
    <cellStyle name="Separador de milhares 2" xfId="110" xr:uid="{E55AFE16-17F3-4730-924E-C9AF22A0970F}"/>
    <cellStyle name="Texto de Aviso" xfId="15" builtinId="11" customBuiltin="1"/>
    <cellStyle name="Texto de Aviso 2" xfId="116" xr:uid="{D294BC1F-31F1-4BA3-AC82-7D1FE24F1ADF}"/>
    <cellStyle name="Texto Explicativo" xfId="17" builtinId="53" customBuiltin="1"/>
    <cellStyle name="Texto Explicativo 2" xfId="117" xr:uid="{FF97A8B2-7206-44E3-A464-51854C9D9C86}"/>
    <cellStyle name="Título" xfId="3" builtinId="15" customBuiltin="1"/>
    <cellStyle name="Título 1" xfId="4" builtinId="16" customBuiltin="1"/>
    <cellStyle name="Título 1 2" xfId="111" xr:uid="{8F07F086-E584-428E-A65E-D969C4632147}"/>
    <cellStyle name="Título 2" xfId="5" builtinId="17" customBuiltin="1"/>
    <cellStyle name="Título 2 2" xfId="112" xr:uid="{2DA52561-F21E-49EF-8F9D-84AA4DF443D3}"/>
    <cellStyle name="Título 3" xfId="6" builtinId="18" customBuiltin="1"/>
    <cellStyle name="Título 3 2" xfId="113" xr:uid="{773F30BF-A845-4070-AF1B-1738CA04EAF4}"/>
    <cellStyle name="Título 4" xfId="7" builtinId="19" customBuiltin="1"/>
    <cellStyle name="Título 4 2" xfId="114" xr:uid="{8818C2BF-D37F-4B09-B8F3-C149F143446C}"/>
    <cellStyle name="Título 5" xfId="115" xr:uid="{656205AD-FB39-4716-8AA3-87D94CC82095}"/>
    <cellStyle name="Total" xfId="18" builtinId="25" customBuiltin="1"/>
    <cellStyle name="Total 2" xfId="118" xr:uid="{0962A19D-DEE8-44EF-BCB8-14E47107B6BE}"/>
    <cellStyle name="Vírgula" xfId="54" builtinId="3"/>
    <cellStyle name="Vírgula 2" xfId="38" xr:uid="{00000000-0005-0000-0000-00002D000000}"/>
    <cellStyle name="Vírgula 2 2" xfId="55" xr:uid="{C5791A3F-250B-4149-9D7D-C0DFA9249AF9}"/>
    <cellStyle name="Vírgula 2 2 2" xfId="128" xr:uid="{FBA078EA-E732-446F-9701-E5068D5B234C}"/>
    <cellStyle name="Vírgula 2 3" xfId="119" xr:uid="{0AA87FA3-B8E4-4D63-95B1-D1FF9B06F7AD}"/>
    <cellStyle name="Vírgula 3" xfId="40" xr:uid="{00000000-0005-0000-0000-00002E000000}"/>
    <cellStyle name="Vírgula 3 2" xfId="52" xr:uid="{00000000-0005-0000-0000-00002F000000}"/>
    <cellStyle name="Vírgula 3 3" xfId="132" xr:uid="{F0D8FB59-CAA5-4532-A244-9F55D4E706F9}"/>
    <cellStyle name="Vírgula 4" xfId="39" xr:uid="{00000000-0005-0000-0000-000030000000}"/>
    <cellStyle name="Vírgula 4 2" xfId="51" xr:uid="{00000000-0005-0000-0000-000031000000}"/>
    <cellStyle name="Vírgula 4 3" xfId="136" xr:uid="{720D2D1C-7C3B-4B25-BFFB-C1449FEB7E9E}"/>
    <cellStyle name="Vírgula 5" xfId="48" xr:uid="{00000000-0005-0000-0000-000032000000}"/>
    <cellStyle name="Vírgula 5 2" xfId="53" xr:uid="{00000000-0005-0000-0000-000033000000}"/>
    <cellStyle name="Vírgula 6" xfId="50" xr:uid="{00000000-0005-0000-0000-000034000000}"/>
    <cellStyle name="Vírgula 7" xfId="37" xr:uid="{00000000-0005-0000-0000-000037000000}"/>
    <cellStyle name="Vírgula 8" xfId="125" xr:uid="{0F28E781-2188-41E3-9E42-AEF754D0E0CA}"/>
  </cellStyles>
  <dxfs count="25">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
      <font>
        <b/>
        <i/>
        <color rgb="FFC00000"/>
      </font>
      <fill>
        <patternFill>
          <bgColor rgb="FFF7AFAF"/>
        </patternFill>
      </fill>
    </dxf>
  </dxfs>
  <tableStyles count="0" defaultTableStyle="TableStyleMedium2" defaultPivotStyle="PivotStyleLight16"/>
  <colors>
    <mruColors>
      <color rgb="FFF1CC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hyperlink" Target="#PROPOSTA_GLOBAL!A1"/></Relationships>
</file>

<file path=xl/drawings/_rels/drawing10.xml.rels><?xml version="1.0" encoding="UTF-8" standalone="yes"?>
<Relationships xmlns="http://schemas.openxmlformats.org/package/2006/relationships"><Relationship Id="rId1" Type="http://schemas.openxmlformats.org/officeDocument/2006/relationships/hyperlink" Target="#PROPOSTA_GLOBAL!A1"/></Relationships>
</file>

<file path=xl/drawings/_rels/drawing11.xml.rels><?xml version="1.0" encoding="UTF-8" standalone="yes"?>
<Relationships xmlns="http://schemas.openxmlformats.org/package/2006/relationships"><Relationship Id="rId1" Type="http://schemas.openxmlformats.org/officeDocument/2006/relationships/hyperlink" Target="#PROPOSTA_GLOBAL!A1"/></Relationships>
</file>

<file path=xl/drawings/_rels/drawing12.xml.rels><?xml version="1.0" encoding="UTF-8" standalone="yes"?>
<Relationships xmlns="http://schemas.openxmlformats.org/package/2006/relationships"><Relationship Id="rId1" Type="http://schemas.openxmlformats.org/officeDocument/2006/relationships/hyperlink" Target="#PROPOSTA_GLOBAL!A1"/></Relationships>
</file>

<file path=xl/drawings/_rels/drawing13.xml.rels><?xml version="1.0" encoding="UTF-8" standalone="yes"?>
<Relationships xmlns="http://schemas.openxmlformats.org/package/2006/relationships"><Relationship Id="rId1" Type="http://schemas.openxmlformats.org/officeDocument/2006/relationships/hyperlink" Target="#PROPOSTA_GLOBAL!C23"/></Relationships>
</file>

<file path=xl/drawings/_rels/drawing14.xml.rels><?xml version="1.0" encoding="UTF-8" standalone="yes"?>
<Relationships xmlns="http://schemas.openxmlformats.org/package/2006/relationships"><Relationship Id="rId1" Type="http://schemas.openxmlformats.org/officeDocument/2006/relationships/hyperlink" Target="#PROPOSTA_GLOBAL!C23"/></Relationships>
</file>

<file path=xl/drawings/_rels/drawing15.xml.rels><?xml version="1.0" encoding="UTF-8" standalone="yes"?>
<Relationships xmlns="http://schemas.openxmlformats.org/package/2006/relationships"><Relationship Id="rId1" Type="http://schemas.openxmlformats.org/officeDocument/2006/relationships/hyperlink" Target="#PROPOSTA_GLOBAL!A1"/></Relationships>
</file>

<file path=xl/drawings/_rels/drawing2.xml.rels><?xml version="1.0" encoding="UTF-8" standalone="yes"?>
<Relationships xmlns="http://schemas.openxmlformats.org/package/2006/relationships"><Relationship Id="rId1" Type="http://schemas.openxmlformats.org/officeDocument/2006/relationships/hyperlink" Target="#PROPOSTA_GLOBAL!A1"/></Relationships>
</file>

<file path=xl/drawings/_rels/drawing3.xml.rels><?xml version="1.0" encoding="UTF-8" standalone="yes"?>
<Relationships xmlns="http://schemas.openxmlformats.org/package/2006/relationships"><Relationship Id="rId3" Type="http://schemas.openxmlformats.org/officeDocument/2006/relationships/hyperlink" Target="#Curitiba!A159"/><Relationship Id="rId2" Type="http://schemas.openxmlformats.org/officeDocument/2006/relationships/hyperlink" Target="#Proposta_Global!A1"/><Relationship Id="rId1" Type="http://schemas.openxmlformats.org/officeDocument/2006/relationships/hyperlink" Target="#PROPOSTA_GLOBAL!D8"/><Relationship Id="rId5" Type="http://schemas.openxmlformats.org/officeDocument/2006/relationships/hyperlink" Target="#NOTAS_EXPLICATIVAS!A1"/><Relationship Id="rId4" Type="http://schemas.openxmlformats.org/officeDocument/2006/relationships/hyperlink" Target="#Curitiba!A1"/></Relationships>
</file>

<file path=xl/drawings/_rels/drawing4.xml.rels><?xml version="1.0" encoding="UTF-8" standalone="yes"?>
<Relationships xmlns="http://schemas.openxmlformats.org/package/2006/relationships"><Relationship Id="rId3" Type="http://schemas.openxmlformats.org/officeDocument/2006/relationships/hyperlink" Target="#Guarapuava!A159"/><Relationship Id="rId2" Type="http://schemas.openxmlformats.org/officeDocument/2006/relationships/hyperlink" Target="#Proposta_Global!A1"/><Relationship Id="rId1" Type="http://schemas.openxmlformats.org/officeDocument/2006/relationships/hyperlink" Target="#PROPOSTA_GLOBAL!D12"/><Relationship Id="rId5" Type="http://schemas.openxmlformats.org/officeDocument/2006/relationships/hyperlink" Target="#NOTAS_EXPLICATIVAS!A1"/><Relationship Id="rId4" Type="http://schemas.openxmlformats.org/officeDocument/2006/relationships/hyperlink" Target="#Guarapuava!A1"/></Relationships>
</file>

<file path=xl/drawings/_rels/drawing5.xml.rels><?xml version="1.0" encoding="UTF-8" standalone="yes"?>
<Relationships xmlns="http://schemas.openxmlformats.org/package/2006/relationships"><Relationship Id="rId3" Type="http://schemas.openxmlformats.org/officeDocument/2006/relationships/hyperlink" Target="#LONDRINA!A159"/><Relationship Id="rId2" Type="http://schemas.openxmlformats.org/officeDocument/2006/relationships/hyperlink" Target="#Proposta_Global!A1"/><Relationship Id="rId1" Type="http://schemas.openxmlformats.org/officeDocument/2006/relationships/hyperlink" Target="#PROPOSTA_GLOBAL!D14"/><Relationship Id="rId5" Type="http://schemas.openxmlformats.org/officeDocument/2006/relationships/hyperlink" Target="#NOTAS_EXPLICATIVAS!A1"/><Relationship Id="rId4" Type="http://schemas.openxmlformats.org/officeDocument/2006/relationships/hyperlink" Target="#LONDRINA!A1"/></Relationships>
</file>

<file path=xl/drawings/_rels/drawing6.xml.rels><?xml version="1.0" encoding="UTF-8" standalone="yes"?>
<Relationships xmlns="http://schemas.openxmlformats.org/package/2006/relationships"><Relationship Id="rId3" Type="http://schemas.openxmlformats.org/officeDocument/2006/relationships/hyperlink" Target="#MARINGA!A159"/><Relationship Id="rId2" Type="http://schemas.openxmlformats.org/officeDocument/2006/relationships/hyperlink" Target="#Proposta_Global!A1"/><Relationship Id="rId1" Type="http://schemas.openxmlformats.org/officeDocument/2006/relationships/hyperlink" Target="#PROPOSTA_GLOBAL!D17"/><Relationship Id="rId5" Type="http://schemas.openxmlformats.org/officeDocument/2006/relationships/hyperlink" Target="#NOTAS_EXPLICATIVAS!A1"/><Relationship Id="rId4" Type="http://schemas.openxmlformats.org/officeDocument/2006/relationships/hyperlink" Target="#MARINGA!A1"/></Relationships>
</file>

<file path=xl/drawings/_rels/drawing7.xml.rels><?xml version="1.0" encoding="UTF-8" standalone="yes"?>
<Relationships xmlns="http://schemas.openxmlformats.org/package/2006/relationships"><Relationship Id="rId3" Type="http://schemas.openxmlformats.org/officeDocument/2006/relationships/hyperlink" Target="#PARANAGUA!A159"/><Relationship Id="rId2" Type="http://schemas.openxmlformats.org/officeDocument/2006/relationships/hyperlink" Target="#Proposta_Global!A1"/><Relationship Id="rId1" Type="http://schemas.openxmlformats.org/officeDocument/2006/relationships/hyperlink" Target="#PROPOSTA_GLOBAL!D19"/><Relationship Id="rId5" Type="http://schemas.openxmlformats.org/officeDocument/2006/relationships/hyperlink" Target="#NOTAS_EXPLICATIVAS!A1"/><Relationship Id="rId4" Type="http://schemas.openxmlformats.org/officeDocument/2006/relationships/hyperlink" Target="#PARANAGUA!A1"/></Relationships>
</file>

<file path=xl/drawings/_rels/drawing8.xml.rels><?xml version="1.0" encoding="UTF-8" standalone="yes"?>
<Relationships xmlns="http://schemas.openxmlformats.org/package/2006/relationships"><Relationship Id="rId3" Type="http://schemas.openxmlformats.org/officeDocument/2006/relationships/hyperlink" Target="#PONTA_GROSSA!A159"/><Relationship Id="rId2" Type="http://schemas.openxmlformats.org/officeDocument/2006/relationships/hyperlink" Target="#Proposta_Global!A1"/><Relationship Id="rId1" Type="http://schemas.openxmlformats.org/officeDocument/2006/relationships/hyperlink" Target="#PROPOSTA_GLOBAL!D21"/><Relationship Id="rId5" Type="http://schemas.openxmlformats.org/officeDocument/2006/relationships/hyperlink" Target="#NOTAS_EXPLICATIVAS!A1"/><Relationship Id="rId4" Type="http://schemas.openxmlformats.org/officeDocument/2006/relationships/hyperlink" Target="#PONTA_GROSSA!A1"/></Relationships>
</file>

<file path=xl/drawings/_rels/drawing9.xml.rels><?xml version="1.0" encoding="UTF-8" standalone="yes"?>
<Relationships xmlns="http://schemas.openxmlformats.org/package/2006/relationships"><Relationship Id="rId1" Type="http://schemas.openxmlformats.org/officeDocument/2006/relationships/hyperlink" Target="#PROPOSTA_GLOBAL!A1"/></Relationships>
</file>

<file path=xl/drawings/drawing1.xml><?xml version="1.0" encoding="utf-8"?>
<xdr:wsDr xmlns:xdr="http://schemas.openxmlformats.org/drawingml/2006/spreadsheetDrawing" xmlns:a="http://schemas.openxmlformats.org/drawingml/2006/main">
  <xdr:twoCellAnchor>
    <xdr:from>
      <xdr:col>5</xdr:col>
      <xdr:colOff>3765856</xdr:colOff>
      <xdr:row>2</xdr:row>
      <xdr:rowOff>0</xdr:rowOff>
    </xdr:from>
    <xdr:to>
      <xdr:col>5</xdr:col>
      <xdr:colOff>5930618</xdr:colOff>
      <xdr:row>2</xdr:row>
      <xdr:rowOff>159856</xdr:rowOff>
    </xdr:to>
    <xdr:sp macro="" textlink="">
      <xdr:nvSpPr>
        <xdr:cNvPr id="2" name="Retângulo: Cantos Arredondados 1">
          <a:hlinkClick xmlns:r="http://schemas.openxmlformats.org/officeDocument/2006/relationships" r:id="rId1"/>
          <a:extLst>
            <a:ext uri="{FF2B5EF4-FFF2-40B4-BE49-F238E27FC236}">
              <a16:creationId xmlns:a16="http://schemas.microsoft.com/office/drawing/2014/main" id="{33F843CE-329C-4291-BDFB-97369546906F}"/>
            </a:ext>
          </a:extLst>
        </xdr:cNvPr>
        <xdr:cNvSpPr/>
      </xdr:nvSpPr>
      <xdr:spPr>
        <a:xfrm>
          <a:off x="8137831" y="439980"/>
          <a:ext cx="2164762" cy="720001"/>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indent="0" algn="ctr"/>
          <a:r>
            <a:rPr lang="pt-BR" sz="1200" b="1" baseline="0">
              <a:solidFill>
                <a:schemeClr val="lt1"/>
              </a:solidFill>
              <a:latin typeface="+mn-lt"/>
              <a:ea typeface="+mn-ea"/>
              <a:cs typeface="+mn-cs"/>
            </a:rPr>
            <a:t>"PROPOSTA_GLOBAL"</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aseline="0">
              <a:solidFill>
                <a:schemeClr val="lt1"/>
              </a:solidFill>
              <a:latin typeface="+mn-lt"/>
              <a:ea typeface="+mn-ea"/>
              <a:cs typeface="+mn-cs"/>
            </a:rPr>
            <a:t>CLIQUE AQUI </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20</xdr:col>
      <xdr:colOff>642939</xdr:colOff>
      <xdr:row>2</xdr:row>
      <xdr:rowOff>35719</xdr:rowOff>
    </xdr:from>
    <xdr:to>
      <xdr:col>22</xdr:col>
      <xdr:colOff>993189</xdr:colOff>
      <xdr:row>5</xdr:row>
      <xdr:rowOff>148500</xdr:rowOff>
    </xdr:to>
    <xdr:sp macro="" textlink="">
      <xdr:nvSpPr>
        <xdr:cNvPr id="2" name="Retângulo: Cantos Arredondados 1">
          <a:hlinkClick xmlns:r="http://schemas.openxmlformats.org/officeDocument/2006/relationships" r:id="rId1"/>
          <a:extLst>
            <a:ext uri="{FF2B5EF4-FFF2-40B4-BE49-F238E27FC236}">
              <a16:creationId xmlns:a16="http://schemas.microsoft.com/office/drawing/2014/main" id="{3323AC7C-7EFC-465B-A3ED-94517845BE85}"/>
            </a:ext>
          </a:extLst>
        </xdr:cNvPr>
        <xdr:cNvSpPr/>
      </xdr:nvSpPr>
      <xdr:spPr>
        <a:xfrm>
          <a:off x="19740564" y="416719"/>
          <a:ext cx="2160000" cy="720000"/>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indent="0" algn="ctr"/>
          <a:r>
            <a:rPr lang="pt-BR" sz="1200" b="1" baseline="0">
              <a:solidFill>
                <a:schemeClr val="lt1"/>
              </a:solidFill>
              <a:latin typeface="+mn-lt"/>
              <a:ea typeface="+mn-ea"/>
              <a:cs typeface="+mn-cs"/>
            </a:rPr>
            <a:t>"PROPOSTA_GLOBAL"</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aseline="0">
              <a:solidFill>
                <a:schemeClr val="lt1"/>
              </a:solidFill>
              <a:latin typeface="+mn-lt"/>
              <a:ea typeface="+mn-ea"/>
              <a:cs typeface="+mn-cs"/>
            </a:rPr>
            <a:t>CLIQUE AQUI </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17</xdr:col>
      <xdr:colOff>273843</xdr:colOff>
      <xdr:row>1</xdr:row>
      <xdr:rowOff>33733</xdr:rowOff>
    </xdr:from>
    <xdr:to>
      <xdr:col>21</xdr:col>
      <xdr:colOff>935640</xdr:colOff>
      <xdr:row>4</xdr:row>
      <xdr:rowOff>171450</xdr:rowOff>
    </xdr:to>
    <xdr:sp macro="" textlink="">
      <xdr:nvSpPr>
        <xdr:cNvPr id="2" name="Retângulo: Cantos Arredondados 1">
          <a:hlinkClick xmlns:r="http://schemas.openxmlformats.org/officeDocument/2006/relationships" r:id="rId1"/>
          <a:extLst>
            <a:ext uri="{FF2B5EF4-FFF2-40B4-BE49-F238E27FC236}">
              <a16:creationId xmlns:a16="http://schemas.microsoft.com/office/drawing/2014/main" id="{EBEE905F-E583-4178-99F4-4D6697D2297B}"/>
            </a:ext>
          </a:extLst>
        </xdr:cNvPr>
        <xdr:cNvSpPr/>
      </xdr:nvSpPr>
      <xdr:spPr>
        <a:xfrm>
          <a:off x="15180468" y="224233"/>
          <a:ext cx="4586097" cy="547292"/>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indent="0" algn="ctr"/>
          <a:r>
            <a:rPr lang="pt-BR" sz="1200" b="1" baseline="0">
              <a:solidFill>
                <a:schemeClr val="lt1"/>
              </a:solidFill>
              <a:latin typeface="+mn-lt"/>
              <a:ea typeface="+mn-ea"/>
              <a:cs typeface="+mn-cs"/>
            </a:rPr>
            <a:t>"PROPOSTA_GLOBAL"</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aseline="0">
              <a:solidFill>
                <a:schemeClr val="lt1"/>
              </a:solidFill>
              <a:latin typeface="+mn-lt"/>
              <a:ea typeface="+mn-ea"/>
              <a:cs typeface="+mn-cs"/>
            </a:rPr>
            <a:t>CLIQUE AQUI </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20</xdr:col>
      <xdr:colOff>258536</xdr:colOff>
      <xdr:row>2</xdr:row>
      <xdr:rowOff>54429</xdr:rowOff>
    </xdr:from>
    <xdr:to>
      <xdr:col>21</xdr:col>
      <xdr:colOff>1153072</xdr:colOff>
      <xdr:row>5</xdr:row>
      <xdr:rowOff>162107</xdr:rowOff>
    </xdr:to>
    <xdr:sp macro="" textlink="">
      <xdr:nvSpPr>
        <xdr:cNvPr id="2" name="Retângulo: Cantos Arredondados 1">
          <a:hlinkClick xmlns:r="http://schemas.openxmlformats.org/officeDocument/2006/relationships" r:id="rId1"/>
          <a:extLst>
            <a:ext uri="{FF2B5EF4-FFF2-40B4-BE49-F238E27FC236}">
              <a16:creationId xmlns:a16="http://schemas.microsoft.com/office/drawing/2014/main" id="{16CA14B2-E9E7-4EBF-8372-D424FC5893FF}"/>
            </a:ext>
          </a:extLst>
        </xdr:cNvPr>
        <xdr:cNvSpPr/>
      </xdr:nvSpPr>
      <xdr:spPr>
        <a:xfrm>
          <a:off x="26520322" y="462643"/>
          <a:ext cx="2160000" cy="720000"/>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indent="0" algn="ctr"/>
          <a:r>
            <a:rPr lang="pt-BR" sz="1200" b="1" baseline="0">
              <a:solidFill>
                <a:schemeClr val="lt1"/>
              </a:solidFill>
              <a:latin typeface="+mn-lt"/>
              <a:ea typeface="+mn-ea"/>
              <a:cs typeface="+mn-cs"/>
            </a:rPr>
            <a:t>"PROPOSTA_GLOBAL"</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aseline="0">
              <a:solidFill>
                <a:schemeClr val="lt1"/>
              </a:solidFill>
              <a:latin typeface="+mn-lt"/>
              <a:ea typeface="+mn-ea"/>
              <a:cs typeface="+mn-cs"/>
            </a:rPr>
            <a:t>CLIQUE AQUI </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19</xdr:col>
      <xdr:colOff>799798</xdr:colOff>
      <xdr:row>2</xdr:row>
      <xdr:rowOff>95249</xdr:rowOff>
    </xdr:from>
    <xdr:to>
      <xdr:col>23</xdr:col>
      <xdr:colOff>1640267</xdr:colOff>
      <xdr:row>5</xdr:row>
      <xdr:rowOff>60574</xdr:rowOff>
    </xdr:to>
    <xdr:sp macro="" textlink="">
      <xdr:nvSpPr>
        <xdr:cNvPr id="2" name="Retângulo: Cantos Arredondados 1">
          <a:hlinkClick xmlns:r="http://schemas.openxmlformats.org/officeDocument/2006/relationships" r:id="rId1"/>
          <a:extLst>
            <a:ext uri="{FF2B5EF4-FFF2-40B4-BE49-F238E27FC236}">
              <a16:creationId xmlns:a16="http://schemas.microsoft.com/office/drawing/2014/main" id="{B1A28CA2-A405-42D6-BF81-A044689BA338}"/>
            </a:ext>
          </a:extLst>
        </xdr:cNvPr>
        <xdr:cNvSpPr/>
      </xdr:nvSpPr>
      <xdr:spPr>
        <a:xfrm>
          <a:off x="19101405" y="476249"/>
          <a:ext cx="4718505" cy="577646"/>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indent="0" algn="ctr"/>
          <a:r>
            <a:rPr lang="pt-BR" sz="1200" b="1" baseline="0">
              <a:solidFill>
                <a:schemeClr val="lt1"/>
              </a:solidFill>
              <a:latin typeface="+mn-lt"/>
              <a:ea typeface="+mn-ea"/>
              <a:cs typeface="+mn-cs"/>
            </a:rPr>
            <a:t>"PROPOSTA_GLOBAL"</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aseline="0">
              <a:solidFill>
                <a:schemeClr val="lt1"/>
              </a:solidFill>
              <a:latin typeface="+mn-lt"/>
              <a:ea typeface="+mn-ea"/>
              <a:cs typeface="+mn-cs"/>
            </a:rPr>
            <a:t>CLIQUE AQUI </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9</xdr:col>
      <xdr:colOff>304799</xdr:colOff>
      <xdr:row>1</xdr:row>
      <xdr:rowOff>82261</xdr:rowOff>
    </xdr:from>
    <xdr:to>
      <xdr:col>11</xdr:col>
      <xdr:colOff>514640</xdr:colOff>
      <xdr:row>4</xdr:row>
      <xdr:rowOff>56462</xdr:rowOff>
    </xdr:to>
    <xdr:sp macro="" textlink="">
      <xdr:nvSpPr>
        <xdr:cNvPr id="2" name="Retângulo: Cantos Arredondados 1">
          <a:hlinkClick xmlns:r="http://schemas.openxmlformats.org/officeDocument/2006/relationships" r:id="rId1"/>
          <a:extLst>
            <a:ext uri="{FF2B5EF4-FFF2-40B4-BE49-F238E27FC236}">
              <a16:creationId xmlns:a16="http://schemas.microsoft.com/office/drawing/2014/main" id="{E5D20D2D-A748-4294-B893-B46FB1616DC5}"/>
            </a:ext>
          </a:extLst>
        </xdr:cNvPr>
        <xdr:cNvSpPr/>
      </xdr:nvSpPr>
      <xdr:spPr>
        <a:xfrm>
          <a:off x="12706349" y="282286"/>
          <a:ext cx="2362491" cy="536176"/>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indent="0" algn="ctr"/>
          <a:r>
            <a:rPr lang="pt-BR" sz="1200" b="1" baseline="0">
              <a:solidFill>
                <a:schemeClr val="lt1"/>
              </a:solidFill>
              <a:latin typeface="+mn-lt"/>
              <a:ea typeface="+mn-ea"/>
              <a:cs typeface="+mn-cs"/>
            </a:rPr>
            <a:t>"PROPOSTA_GLOBAL"</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aseline="0">
              <a:solidFill>
                <a:schemeClr val="lt1"/>
              </a:solidFill>
              <a:latin typeface="+mn-lt"/>
              <a:ea typeface="+mn-ea"/>
              <a:cs typeface="+mn-cs"/>
            </a:rPr>
            <a:t>CLIQUE AQUI </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765831</xdr:colOff>
      <xdr:row>1</xdr:row>
      <xdr:rowOff>143542</xdr:rowOff>
    </xdr:from>
    <xdr:to>
      <xdr:col>9</xdr:col>
      <xdr:colOff>486074</xdr:colOff>
      <xdr:row>4</xdr:row>
      <xdr:rowOff>0</xdr:rowOff>
    </xdr:to>
    <xdr:sp macro="" textlink="">
      <xdr:nvSpPr>
        <xdr:cNvPr id="2" name="Retângulo: Cantos Arredondados 1">
          <a:hlinkClick xmlns:r="http://schemas.openxmlformats.org/officeDocument/2006/relationships" r:id="rId1"/>
          <a:extLst>
            <a:ext uri="{FF2B5EF4-FFF2-40B4-BE49-F238E27FC236}">
              <a16:creationId xmlns:a16="http://schemas.microsoft.com/office/drawing/2014/main" id="{B7589002-8BAE-42AF-A549-F722EA6B43E2}"/>
            </a:ext>
          </a:extLst>
        </xdr:cNvPr>
        <xdr:cNvSpPr/>
      </xdr:nvSpPr>
      <xdr:spPr>
        <a:xfrm>
          <a:off x="13304028" y="345032"/>
          <a:ext cx="2641854" cy="579039"/>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indent="0" algn="ctr"/>
          <a:r>
            <a:rPr lang="pt-BR" sz="1200" b="1" baseline="0">
              <a:solidFill>
                <a:schemeClr val="lt1"/>
              </a:solidFill>
              <a:latin typeface="+mn-lt"/>
              <a:ea typeface="+mn-ea"/>
              <a:cs typeface="+mn-cs"/>
            </a:rPr>
            <a:t>"PROPOSTA_GLOBAL"</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aseline="0">
              <a:solidFill>
                <a:schemeClr val="lt1"/>
              </a:solidFill>
              <a:latin typeface="+mn-lt"/>
              <a:ea typeface="+mn-ea"/>
              <a:cs typeface="+mn-cs"/>
            </a:rPr>
            <a:t>CLIQUE AQUI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3803956</xdr:colOff>
      <xdr:row>1</xdr:row>
      <xdr:rowOff>152400</xdr:rowOff>
    </xdr:from>
    <xdr:to>
      <xdr:col>5</xdr:col>
      <xdr:colOff>5968718</xdr:colOff>
      <xdr:row>6</xdr:row>
      <xdr:rowOff>28576</xdr:rowOff>
    </xdr:to>
    <xdr:sp macro="" textlink="">
      <xdr:nvSpPr>
        <xdr:cNvPr id="2" name="Retângulo: Cantos Arredondados 1">
          <a:hlinkClick xmlns:r="http://schemas.openxmlformats.org/officeDocument/2006/relationships" r:id="rId1"/>
          <a:extLst>
            <a:ext uri="{FF2B5EF4-FFF2-40B4-BE49-F238E27FC236}">
              <a16:creationId xmlns:a16="http://schemas.microsoft.com/office/drawing/2014/main" id="{97A10AA6-17CC-4732-BAC7-89B27C1C2858}"/>
            </a:ext>
          </a:extLst>
        </xdr:cNvPr>
        <xdr:cNvSpPr/>
      </xdr:nvSpPr>
      <xdr:spPr>
        <a:xfrm>
          <a:off x="8175931" y="352425"/>
          <a:ext cx="2164762" cy="742951"/>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indent="0" algn="ctr"/>
          <a:r>
            <a:rPr lang="pt-BR" sz="1200" b="1" baseline="0">
              <a:solidFill>
                <a:schemeClr val="lt1"/>
              </a:solidFill>
              <a:latin typeface="+mn-lt"/>
              <a:ea typeface="+mn-ea"/>
              <a:cs typeface="+mn-cs"/>
            </a:rPr>
            <a:t>"PROPOSTA_GLOBAL"</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aseline="0">
              <a:solidFill>
                <a:schemeClr val="lt1"/>
              </a:solidFill>
              <a:latin typeface="+mn-lt"/>
              <a:ea typeface="+mn-ea"/>
              <a:cs typeface="+mn-cs"/>
            </a:rPr>
            <a:t>CLIQUE AQUI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2707788</xdr:colOff>
      <xdr:row>0</xdr:row>
      <xdr:rowOff>47625</xdr:rowOff>
    </xdr:from>
    <xdr:to>
      <xdr:col>7</xdr:col>
      <xdr:colOff>2746376</xdr:colOff>
      <xdr:row>2</xdr:row>
      <xdr:rowOff>38350</xdr:rowOff>
    </xdr:to>
    <xdr:sp macro="" textlink="">
      <xdr:nvSpPr>
        <xdr:cNvPr id="3" name="Retângulo: Cantos Arredondados 2">
          <a:hlinkClick xmlns:r="http://schemas.openxmlformats.org/officeDocument/2006/relationships" r:id="rId1"/>
          <a:extLst>
            <a:ext uri="{FF2B5EF4-FFF2-40B4-BE49-F238E27FC236}">
              <a16:creationId xmlns:a16="http://schemas.microsoft.com/office/drawing/2014/main" id="{34DED26E-F0CC-402B-9943-BC88D7E7024C}"/>
            </a:ext>
          </a:extLst>
        </xdr:cNvPr>
        <xdr:cNvSpPr/>
      </xdr:nvSpPr>
      <xdr:spPr>
        <a:xfrm>
          <a:off x="15915788" y="47625"/>
          <a:ext cx="3150088" cy="514600"/>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indent="0" algn="ctr"/>
          <a:r>
            <a:rPr lang="pt-BR" sz="1200" b="1" baseline="0">
              <a:solidFill>
                <a:schemeClr val="lt1"/>
              </a:solidFill>
              <a:latin typeface="+mn-lt"/>
              <a:ea typeface="+mn-ea"/>
              <a:cs typeface="+mn-cs"/>
            </a:rPr>
            <a:t>"PROPOSTA_GLOBAL"</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aseline="0">
              <a:solidFill>
                <a:schemeClr val="lt1"/>
              </a:solidFill>
              <a:latin typeface="+mn-lt"/>
              <a:ea typeface="+mn-ea"/>
              <a:cs typeface="+mn-cs"/>
            </a:rPr>
            <a:t>CLIQUE AQUI </a:t>
          </a:r>
        </a:p>
      </xdr:txBody>
    </xdr:sp>
    <xdr:clientData/>
  </xdr:twoCellAnchor>
  <xdr:twoCellAnchor>
    <xdr:from>
      <xdr:col>1</xdr:col>
      <xdr:colOff>105508</xdr:colOff>
      <xdr:row>147</xdr:row>
      <xdr:rowOff>66675</xdr:rowOff>
    </xdr:from>
    <xdr:to>
      <xdr:col>1</xdr:col>
      <xdr:colOff>4065508</xdr:colOff>
      <xdr:row>150</xdr:row>
      <xdr:rowOff>6600</xdr:rowOff>
    </xdr:to>
    <xdr:sp macro="" textlink="">
      <xdr:nvSpPr>
        <xdr:cNvPr id="4" name="Retângulo: Cantos Arredondados 3">
          <a:hlinkClick xmlns:r="http://schemas.openxmlformats.org/officeDocument/2006/relationships" r:id="rId2"/>
          <a:extLst>
            <a:ext uri="{FF2B5EF4-FFF2-40B4-BE49-F238E27FC236}">
              <a16:creationId xmlns:a16="http://schemas.microsoft.com/office/drawing/2014/main" id="{AF3C6D7C-52FA-4D56-A9A3-0EDAB96E5B53}"/>
            </a:ext>
          </a:extLst>
        </xdr:cNvPr>
        <xdr:cNvSpPr/>
      </xdr:nvSpPr>
      <xdr:spPr>
        <a:xfrm>
          <a:off x="686533" y="32004000"/>
          <a:ext cx="3960000" cy="540000"/>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pt-BR" sz="1200" b="1" baseline="0">
              <a:solidFill>
                <a:schemeClr val="lt1"/>
              </a:solidFill>
              <a:effectLst/>
              <a:latin typeface="+mn-lt"/>
              <a:ea typeface="+mn-ea"/>
              <a:cs typeface="+mn-cs"/>
            </a:rPr>
            <a:t>"PROPOSTA_GLOBAL"</a:t>
          </a:r>
          <a:endParaRPr lang="pt-BR" sz="1200" b="1">
            <a:effectLst/>
            <a:latin typeface="+mn-lt"/>
          </a:endParaRPr>
        </a:p>
        <a:p>
          <a:pPr algn="ctr"/>
          <a:r>
            <a:rPr lang="pt-BR" sz="1200" b="0">
              <a:latin typeface="+mn-lt"/>
            </a:rPr>
            <a:t>CLIQUE</a:t>
          </a:r>
          <a:r>
            <a:rPr lang="pt-BR" sz="1200" b="0" baseline="0">
              <a:latin typeface="+mn-lt"/>
            </a:rPr>
            <a:t> AQUI</a:t>
          </a:r>
          <a:endParaRPr lang="pt-BR" sz="1100"/>
        </a:p>
      </xdr:txBody>
    </xdr:sp>
    <xdr:clientData/>
  </xdr:twoCellAnchor>
  <xdr:twoCellAnchor>
    <xdr:from>
      <xdr:col>6</xdr:col>
      <xdr:colOff>2698750</xdr:colOff>
      <xdr:row>2</xdr:row>
      <xdr:rowOff>127000</xdr:rowOff>
    </xdr:from>
    <xdr:to>
      <xdr:col>7</xdr:col>
      <xdr:colOff>2746375</xdr:colOff>
      <xdr:row>4</xdr:row>
      <xdr:rowOff>152649</xdr:rowOff>
    </xdr:to>
    <xdr:sp macro="" textlink="">
      <xdr:nvSpPr>
        <xdr:cNvPr id="5" name="Retângulo: Cantos Arredondados 4">
          <a:hlinkClick xmlns:r="http://schemas.openxmlformats.org/officeDocument/2006/relationships" r:id="rId3"/>
          <a:extLst>
            <a:ext uri="{FF2B5EF4-FFF2-40B4-BE49-F238E27FC236}">
              <a16:creationId xmlns:a16="http://schemas.microsoft.com/office/drawing/2014/main" id="{64D2231D-32EE-4871-BF04-457ADC81F1AA}"/>
            </a:ext>
          </a:extLst>
        </xdr:cNvPr>
        <xdr:cNvSpPr/>
      </xdr:nvSpPr>
      <xdr:spPr>
        <a:xfrm>
          <a:off x="15906750" y="650875"/>
          <a:ext cx="3159125" cy="581274"/>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a:t>FIM</a:t>
          </a:r>
          <a:r>
            <a:rPr lang="pt-BR" sz="1200" b="1" baseline="0"/>
            <a:t> DESTA PLANILHA</a:t>
          </a:r>
          <a:endParaRPr lang="pt-BR" sz="1200" b="1"/>
        </a:p>
        <a:p>
          <a:pPr algn="ctr"/>
          <a:r>
            <a:rPr lang="pt-BR" sz="1200" b="0"/>
            <a:t>CLIQUE</a:t>
          </a:r>
          <a:r>
            <a:rPr lang="pt-BR" sz="1200" b="0" baseline="0"/>
            <a:t> AQUI </a:t>
          </a:r>
        </a:p>
      </xdr:txBody>
    </xdr:sp>
    <xdr:clientData/>
  </xdr:twoCellAnchor>
  <xdr:twoCellAnchor>
    <xdr:from>
      <xdr:col>2</xdr:col>
      <xdr:colOff>1005253</xdr:colOff>
      <xdr:row>147</xdr:row>
      <xdr:rowOff>46159</xdr:rowOff>
    </xdr:from>
    <xdr:to>
      <xdr:col>5</xdr:col>
      <xdr:colOff>736153</xdr:colOff>
      <xdr:row>149</xdr:row>
      <xdr:rowOff>186109</xdr:rowOff>
    </xdr:to>
    <xdr:sp macro="" textlink="">
      <xdr:nvSpPr>
        <xdr:cNvPr id="6" name="Retângulo: Cantos Arredondados 5">
          <a:hlinkClick xmlns:r="http://schemas.openxmlformats.org/officeDocument/2006/relationships" r:id="rId4"/>
          <a:extLst>
            <a:ext uri="{FF2B5EF4-FFF2-40B4-BE49-F238E27FC236}">
              <a16:creationId xmlns:a16="http://schemas.microsoft.com/office/drawing/2014/main" id="{1D123382-184A-49BC-B488-2D61D99AB5E0}"/>
            </a:ext>
          </a:extLst>
        </xdr:cNvPr>
        <xdr:cNvSpPr/>
      </xdr:nvSpPr>
      <xdr:spPr>
        <a:xfrm>
          <a:off x="5863003" y="31983484"/>
          <a:ext cx="3960000" cy="540000"/>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baseline="0">
              <a:solidFill>
                <a:schemeClr val="bg1"/>
              </a:solidFill>
              <a:latin typeface="+mn-lt"/>
            </a:rPr>
            <a:t>INÍCIO DESTA PLANILHA</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0">
              <a:solidFill>
                <a:schemeClr val="bg1"/>
              </a:solidFill>
              <a:effectLst/>
              <a:latin typeface="+mn-lt"/>
              <a:ea typeface="+mn-ea"/>
              <a:cs typeface="+mn-cs"/>
            </a:rPr>
            <a:t>CLIQUE</a:t>
          </a:r>
          <a:r>
            <a:rPr lang="pt-BR" sz="1200" b="0" baseline="0">
              <a:solidFill>
                <a:schemeClr val="bg1"/>
              </a:solidFill>
              <a:effectLst/>
              <a:latin typeface="+mn-lt"/>
              <a:ea typeface="+mn-ea"/>
              <a:cs typeface="+mn-cs"/>
            </a:rPr>
            <a:t> AQUI</a:t>
          </a:r>
          <a:endParaRPr lang="pt-BR" sz="1200"/>
        </a:p>
      </xdr:txBody>
    </xdr:sp>
    <xdr:clientData/>
  </xdr:twoCellAnchor>
  <xdr:twoCellAnchor>
    <xdr:from>
      <xdr:col>5</xdr:col>
      <xdr:colOff>1862503</xdr:colOff>
      <xdr:row>147</xdr:row>
      <xdr:rowOff>84259</xdr:rowOff>
    </xdr:from>
    <xdr:to>
      <xdr:col>7</xdr:col>
      <xdr:colOff>2073328</xdr:colOff>
      <xdr:row>150</xdr:row>
      <xdr:rowOff>24184</xdr:rowOff>
    </xdr:to>
    <xdr:sp macro="" textlink="">
      <xdr:nvSpPr>
        <xdr:cNvPr id="2" name="Retângulo: Cantos Arredondados 1">
          <a:hlinkClick xmlns:r="http://schemas.openxmlformats.org/officeDocument/2006/relationships" r:id="rId5"/>
          <a:extLst>
            <a:ext uri="{FF2B5EF4-FFF2-40B4-BE49-F238E27FC236}">
              <a16:creationId xmlns:a16="http://schemas.microsoft.com/office/drawing/2014/main" id="{4D7D4E0B-F2D1-4EAC-A83F-83D39FA88FAF}"/>
            </a:ext>
          </a:extLst>
        </xdr:cNvPr>
        <xdr:cNvSpPr/>
      </xdr:nvSpPr>
      <xdr:spPr>
        <a:xfrm>
          <a:off x="10949353" y="32021584"/>
          <a:ext cx="5040000" cy="540000"/>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baseline="0">
              <a:solidFill>
                <a:schemeClr val="bg1"/>
              </a:solidFill>
              <a:latin typeface="+mn-lt"/>
            </a:rPr>
            <a:t>NOTAS EXPLICATIVAS DOS CÁLCULOS ADOTADOS NESTA PLANILHA</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0">
              <a:solidFill>
                <a:schemeClr val="bg1"/>
              </a:solidFill>
              <a:effectLst/>
              <a:latin typeface="+mn-lt"/>
              <a:ea typeface="+mn-ea"/>
              <a:cs typeface="+mn-cs"/>
            </a:rPr>
            <a:t>CLIQUE</a:t>
          </a:r>
          <a:r>
            <a:rPr lang="pt-BR" sz="1200" b="0" baseline="0">
              <a:solidFill>
                <a:schemeClr val="bg1"/>
              </a:solidFill>
              <a:effectLst/>
              <a:latin typeface="+mn-lt"/>
              <a:ea typeface="+mn-ea"/>
              <a:cs typeface="+mn-cs"/>
            </a:rPr>
            <a:t> AQUI </a:t>
          </a:r>
          <a:endParaRPr lang="pt-BR" sz="12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2438399</xdr:colOff>
      <xdr:row>0</xdr:row>
      <xdr:rowOff>85725</xdr:rowOff>
    </xdr:from>
    <xdr:to>
      <xdr:col>5</xdr:col>
      <xdr:colOff>2474098</xdr:colOff>
      <xdr:row>2</xdr:row>
      <xdr:rowOff>25650</xdr:rowOff>
    </xdr:to>
    <xdr:sp macro="" textlink="">
      <xdr:nvSpPr>
        <xdr:cNvPr id="2" name="Retângulo: Cantos Arredondados 1">
          <a:hlinkClick xmlns:r="http://schemas.openxmlformats.org/officeDocument/2006/relationships" r:id="rId1"/>
          <a:extLst>
            <a:ext uri="{FF2B5EF4-FFF2-40B4-BE49-F238E27FC236}">
              <a16:creationId xmlns:a16="http://schemas.microsoft.com/office/drawing/2014/main" id="{C8CADDA9-A20A-4ECB-ACA5-0F3BA1E56CBC}"/>
            </a:ext>
          </a:extLst>
        </xdr:cNvPr>
        <xdr:cNvSpPr/>
      </xdr:nvSpPr>
      <xdr:spPr>
        <a:xfrm>
          <a:off x="8743949" y="85725"/>
          <a:ext cx="2816999" cy="549525"/>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indent="0" algn="ctr"/>
          <a:r>
            <a:rPr lang="pt-BR" sz="1200" b="1" baseline="0">
              <a:solidFill>
                <a:schemeClr val="lt1"/>
              </a:solidFill>
              <a:latin typeface="+mn-lt"/>
              <a:ea typeface="+mn-ea"/>
              <a:cs typeface="+mn-cs"/>
            </a:rPr>
            <a:t>"PROPOSTA_GLOBAL"</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aseline="0">
              <a:solidFill>
                <a:schemeClr val="lt1"/>
              </a:solidFill>
              <a:latin typeface="+mn-lt"/>
              <a:ea typeface="+mn-ea"/>
              <a:cs typeface="+mn-cs"/>
            </a:rPr>
            <a:t>CLIQUE AQUI </a:t>
          </a:r>
        </a:p>
      </xdr:txBody>
    </xdr:sp>
    <xdr:clientData/>
  </xdr:twoCellAnchor>
  <xdr:twoCellAnchor>
    <xdr:from>
      <xdr:col>0</xdr:col>
      <xdr:colOff>54073</xdr:colOff>
      <xdr:row>147</xdr:row>
      <xdr:rowOff>68580</xdr:rowOff>
    </xdr:from>
    <xdr:to>
      <xdr:col>1</xdr:col>
      <xdr:colOff>3433048</xdr:colOff>
      <xdr:row>149</xdr:row>
      <xdr:rowOff>137160</xdr:rowOff>
    </xdr:to>
    <xdr:sp macro="" textlink="">
      <xdr:nvSpPr>
        <xdr:cNvPr id="3" name="Retângulo: Cantos Arredondados 2">
          <a:hlinkClick xmlns:r="http://schemas.openxmlformats.org/officeDocument/2006/relationships" r:id="rId2"/>
          <a:extLst>
            <a:ext uri="{FF2B5EF4-FFF2-40B4-BE49-F238E27FC236}">
              <a16:creationId xmlns:a16="http://schemas.microsoft.com/office/drawing/2014/main" id="{02620EAB-9173-43F0-9343-3DFC372F779F}"/>
            </a:ext>
          </a:extLst>
        </xdr:cNvPr>
        <xdr:cNvSpPr/>
      </xdr:nvSpPr>
      <xdr:spPr>
        <a:xfrm>
          <a:off x="54073" y="30609540"/>
          <a:ext cx="3965715" cy="388620"/>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pt-BR" sz="1200" b="1" baseline="0">
              <a:solidFill>
                <a:schemeClr val="lt1"/>
              </a:solidFill>
              <a:effectLst/>
              <a:latin typeface="+mn-lt"/>
              <a:ea typeface="+mn-ea"/>
              <a:cs typeface="+mn-cs"/>
            </a:rPr>
            <a:t>"PROPOSTA_GLOBAL"</a:t>
          </a:r>
          <a:endParaRPr lang="pt-BR" sz="1200" b="1">
            <a:effectLst/>
            <a:latin typeface="+mn-lt"/>
          </a:endParaRPr>
        </a:p>
        <a:p>
          <a:pPr algn="ctr"/>
          <a:r>
            <a:rPr lang="pt-BR" sz="1200" b="0">
              <a:latin typeface="+mn-lt"/>
            </a:rPr>
            <a:t>CLIQUE</a:t>
          </a:r>
          <a:r>
            <a:rPr lang="pt-BR" sz="1200" b="0" baseline="0">
              <a:latin typeface="+mn-lt"/>
            </a:rPr>
            <a:t> AQUI</a:t>
          </a:r>
          <a:endParaRPr lang="pt-BR" sz="1100"/>
        </a:p>
      </xdr:txBody>
    </xdr:sp>
    <xdr:clientData/>
  </xdr:twoCellAnchor>
  <xdr:twoCellAnchor>
    <xdr:from>
      <xdr:col>4</xdr:col>
      <xdr:colOff>2419349</xdr:colOff>
      <xdr:row>2</xdr:row>
      <xdr:rowOff>85724</xdr:rowOff>
    </xdr:from>
    <xdr:to>
      <xdr:col>5</xdr:col>
      <xdr:colOff>2457450</xdr:colOff>
      <xdr:row>5</xdr:row>
      <xdr:rowOff>114300</xdr:rowOff>
    </xdr:to>
    <xdr:sp macro="" textlink="">
      <xdr:nvSpPr>
        <xdr:cNvPr id="4" name="Retângulo: Cantos Arredondados 3">
          <a:hlinkClick xmlns:r="http://schemas.openxmlformats.org/officeDocument/2006/relationships" r:id="rId3"/>
          <a:extLst>
            <a:ext uri="{FF2B5EF4-FFF2-40B4-BE49-F238E27FC236}">
              <a16:creationId xmlns:a16="http://schemas.microsoft.com/office/drawing/2014/main" id="{7AFE784E-2112-439C-9450-0D507945EDCE}"/>
            </a:ext>
          </a:extLst>
        </xdr:cNvPr>
        <xdr:cNvSpPr/>
      </xdr:nvSpPr>
      <xdr:spPr>
        <a:xfrm>
          <a:off x="8724899" y="695324"/>
          <a:ext cx="2819401" cy="561976"/>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a:t>FIM</a:t>
          </a:r>
          <a:r>
            <a:rPr lang="pt-BR" sz="1200" b="1" baseline="0"/>
            <a:t> DESTA PLANILHA</a:t>
          </a:r>
          <a:endParaRPr lang="pt-BR" sz="1200" b="1"/>
        </a:p>
        <a:p>
          <a:pPr algn="ctr"/>
          <a:r>
            <a:rPr lang="pt-BR" sz="1200" b="0"/>
            <a:t>CLIQUE</a:t>
          </a:r>
          <a:r>
            <a:rPr lang="pt-BR" sz="1200" b="0" baseline="0"/>
            <a:t> AQUI </a:t>
          </a:r>
        </a:p>
      </xdr:txBody>
    </xdr:sp>
    <xdr:clientData/>
  </xdr:twoCellAnchor>
  <xdr:twoCellAnchor>
    <xdr:from>
      <xdr:col>1</xdr:col>
      <xdr:colOff>3571288</xdr:colOff>
      <xdr:row>147</xdr:row>
      <xdr:rowOff>60959</xdr:rowOff>
    </xdr:from>
    <xdr:to>
      <xdr:col>4</xdr:col>
      <xdr:colOff>1806763</xdr:colOff>
      <xdr:row>149</xdr:row>
      <xdr:rowOff>148008</xdr:rowOff>
    </xdr:to>
    <xdr:sp macro="" textlink="">
      <xdr:nvSpPr>
        <xdr:cNvPr id="7" name="Retângulo: Cantos Arredondados 6">
          <a:hlinkClick xmlns:r="http://schemas.openxmlformats.org/officeDocument/2006/relationships" r:id="rId4"/>
          <a:extLst>
            <a:ext uri="{FF2B5EF4-FFF2-40B4-BE49-F238E27FC236}">
              <a16:creationId xmlns:a16="http://schemas.microsoft.com/office/drawing/2014/main" id="{6D513922-5FBF-7B60-FCF5-E8FD058C649D}"/>
            </a:ext>
          </a:extLst>
        </xdr:cNvPr>
        <xdr:cNvSpPr/>
      </xdr:nvSpPr>
      <xdr:spPr>
        <a:xfrm>
          <a:off x="4158028" y="30601919"/>
          <a:ext cx="4110495" cy="407089"/>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baseline="0">
              <a:solidFill>
                <a:schemeClr val="bg1"/>
              </a:solidFill>
              <a:latin typeface="+mn-lt"/>
            </a:rPr>
            <a:t>INÍCIO DESTA PLANILHA</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0">
              <a:solidFill>
                <a:schemeClr val="bg1"/>
              </a:solidFill>
              <a:effectLst/>
              <a:latin typeface="+mn-lt"/>
              <a:ea typeface="+mn-ea"/>
              <a:cs typeface="+mn-cs"/>
            </a:rPr>
            <a:t>CLIQUE</a:t>
          </a:r>
          <a:r>
            <a:rPr lang="pt-BR" sz="1200" b="0" baseline="0">
              <a:solidFill>
                <a:schemeClr val="bg1"/>
              </a:solidFill>
              <a:effectLst/>
              <a:latin typeface="+mn-lt"/>
              <a:ea typeface="+mn-ea"/>
              <a:cs typeface="+mn-cs"/>
            </a:rPr>
            <a:t> AQUI</a:t>
          </a:r>
          <a:endParaRPr lang="pt-BR" sz="1200"/>
        </a:p>
      </xdr:txBody>
    </xdr:sp>
    <xdr:clientData/>
  </xdr:twoCellAnchor>
  <xdr:twoCellAnchor>
    <xdr:from>
      <xdr:col>4</xdr:col>
      <xdr:colOff>1845945</xdr:colOff>
      <xdr:row>147</xdr:row>
      <xdr:rowOff>68579</xdr:rowOff>
    </xdr:from>
    <xdr:to>
      <xdr:col>5</xdr:col>
      <xdr:colOff>2560321</xdr:colOff>
      <xdr:row>149</xdr:row>
      <xdr:rowOff>140388</xdr:rowOff>
    </xdr:to>
    <xdr:sp macro="" textlink="">
      <xdr:nvSpPr>
        <xdr:cNvPr id="8" name="Retângulo: Cantos Arredondados 7">
          <a:hlinkClick xmlns:r="http://schemas.openxmlformats.org/officeDocument/2006/relationships" r:id="rId5"/>
          <a:extLst>
            <a:ext uri="{FF2B5EF4-FFF2-40B4-BE49-F238E27FC236}">
              <a16:creationId xmlns:a16="http://schemas.microsoft.com/office/drawing/2014/main" id="{8DA84226-C93A-DCD7-7B6F-6620B2589B06}"/>
            </a:ext>
          </a:extLst>
        </xdr:cNvPr>
        <xdr:cNvSpPr/>
      </xdr:nvSpPr>
      <xdr:spPr>
        <a:xfrm>
          <a:off x="8307705" y="30609539"/>
          <a:ext cx="3564256" cy="391849"/>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baseline="0">
              <a:solidFill>
                <a:schemeClr val="bg1"/>
              </a:solidFill>
              <a:latin typeface="+mn-lt"/>
            </a:rPr>
            <a:t>NOTAS EXPLICATIVAS DOS CÁLCULOS ADOTADOS NESTA PLANILHA</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0">
              <a:solidFill>
                <a:schemeClr val="bg1"/>
              </a:solidFill>
              <a:effectLst/>
              <a:latin typeface="+mn-lt"/>
              <a:ea typeface="+mn-ea"/>
              <a:cs typeface="+mn-cs"/>
            </a:rPr>
            <a:t>CLIQUE</a:t>
          </a:r>
          <a:r>
            <a:rPr lang="pt-BR" sz="1200" b="0" baseline="0">
              <a:solidFill>
                <a:schemeClr val="bg1"/>
              </a:solidFill>
              <a:effectLst/>
              <a:latin typeface="+mn-lt"/>
              <a:ea typeface="+mn-ea"/>
              <a:cs typeface="+mn-cs"/>
            </a:rPr>
            <a:t> AQUI </a:t>
          </a:r>
          <a:endParaRPr lang="pt-BR" sz="12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676275</xdr:colOff>
      <xdr:row>0</xdr:row>
      <xdr:rowOff>85725</xdr:rowOff>
    </xdr:from>
    <xdr:to>
      <xdr:col>6</xdr:col>
      <xdr:colOff>2416949</xdr:colOff>
      <xdr:row>2</xdr:row>
      <xdr:rowOff>25650</xdr:rowOff>
    </xdr:to>
    <xdr:sp macro="" textlink="">
      <xdr:nvSpPr>
        <xdr:cNvPr id="2" name="Retângulo: Cantos Arredondados 1">
          <a:hlinkClick xmlns:r="http://schemas.openxmlformats.org/officeDocument/2006/relationships" r:id="rId1"/>
          <a:extLst>
            <a:ext uri="{FF2B5EF4-FFF2-40B4-BE49-F238E27FC236}">
              <a16:creationId xmlns:a16="http://schemas.microsoft.com/office/drawing/2014/main" id="{ECE9936B-9D3B-47CB-A29E-DC67A59537D2}"/>
            </a:ext>
          </a:extLst>
        </xdr:cNvPr>
        <xdr:cNvSpPr/>
      </xdr:nvSpPr>
      <xdr:spPr>
        <a:xfrm>
          <a:off x="9763125" y="85725"/>
          <a:ext cx="4521974" cy="549525"/>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indent="0" algn="ctr"/>
          <a:r>
            <a:rPr lang="pt-BR" sz="1200" b="1" baseline="0">
              <a:solidFill>
                <a:schemeClr val="lt1"/>
              </a:solidFill>
              <a:latin typeface="+mn-lt"/>
              <a:ea typeface="+mn-ea"/>
              <a:cs typeface="+mn-cs"/>
            </a:rPr>
            <a:t>"PROPOSTA_GLOBAL"</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aseline="0">
              <a:solidFill>
                <a:schemeClr val="lt1"/>
              </a:solidFill>
              <a:latin typeface="+mn-lt"/>
              <a:ea typeface="+mn-ea"/>
              <a:cs typeface="+mn-cs"/>
            </a:rPr>
            <a:t>CLIQUE AQUI </a:t>
          </a:r>
        </a:p>
      </xdr:txBody>
    </xdr:sp>
    <xdr:clientData/>
  </xdr:twoCellAnchor>
  <xdr:twoCellAnchor>
    <xdr:from>
      <xdr:col>0</xdr:col>
      <xdr:colOff>124558</xdr:colOff>
      <xdr:row>145</xdr:row>
      <xdr:rowOff>28575</xdr:rowOff>
    </xdr:from>
    <xdr:to>
      <xdr:col>1</xdr:col>
      <xdr:colOff>3503533</xdr:colOff>
      <xdr:row>145</xdr:row>
      <xdr:rowOff>365760</xdr:rowOff>
    </xdr:to>
    <xdr:sp macro="" textlink="">
      <xdr:nvSpPr>
        <xdr:cNvPr id="3" name="Retângulo: Cantos Arredondados 2">
          <a:hlinkClick xmlns:r="http://schemas.openxmlformats.org/officeDocument/2006/relationships" r:id="rId2"/>
          <a:extLst>
            <a:ext uri="{FF2B5EF4-FFF2-40B4-BE49-F238E27FC236}">
              <a16:creationId xmlns:a16="http://schemas.microsoft.com/office/drawing/2014/main" id="{2C42D6E7-F4AD-4F61-A964-18C15AA58B26}"/>
            </a:ext>
          </a:extLst>
        </xdr:cNvPr>
        <xdr:cNvSpPr/>
      </xdr:nvSpPr>
      <xdr:spPr>
        <a:xfrm>
          <a:off x="124558" y="31102935"/>
          <a:ext cx="3965715" cy="337185"/>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pt-BR" sz="1200" b="1" baseline="0">
              <a:solidFill>
                <a:schemeClr val="lt1"/>
              </a:solidFill>
              <a:effectLst/>
              <a:latin typeface="+mn-lt"/>
              <a:ea typeface="+mn-ea"/>
              <a:cs typeface="+mn-cs"/>
            </a:rPr>
            <a:t>"PROPOSTA_GLOBAL"</a:t>
          </a:r>
          <a:endParaRPr lang="pt-BR" sz="1200" b="1">
            <a:effectLst/>
            <a:latin typeface="+mn-lt"/>
          </a:endParaRPr>
        </a:p>
        <a:p>
          <a:pPr algn="ctr"/>
          <a:r>
            <a:rPr lang="pt-BR" sz="1200" b="0">
              <a:latin typeface="+mn-lt"/>
            </a:rPr>
            <a:t>CLIQUE</a:t>
          </a:r>
          <a:r>
            <a:rPr lang="pt-BR" sz="1200" b="0" baseline="0">
              <a:latin typeface="+mn-lt"/>
            </a:rPr>
            <a:t> AQUI</a:t>
          </a:r>
          <a:endParaRPr lang="pt-BR" sz="1100"/>
        </a:p>
      </xdr:txBody>
    </xdr:sp>
    <xdr:clientData/>
  </xdr:twoCellAnchor>
  <xdr:twoCellAnchor>
    <xdr:from>
      <xdr:col>5</xdr:col>
      <xdr:colOff>704850</xdr:colOff>
      <xdr:row>2</xdr:row>
      <xdr:rowOff>85724</xdr:rowOff>
    </xdr:from>
    <xdr:to>
      <xdr:col>6</xdr:col>
      <xdr:colOff>2416948</xdr:colOff>
      <xdr:row>4</xdr:row>
      <xdr:rowOff>225674</xdr:rowOff>
    </xdr:to>
    <xdr:sp macro="" textlink="">
      <xdr:nvSpPr>
        <xdr:cNvPr id="4" name="Retângulo: Cantos Arredondados 3">
          <a:hlinkClick xmlns:r="http://schemas.openxmlformats.org/officeDocument/2006/relationships" r:id="rId3"/>
          <a:extLst>
            <a:ext uri="{FF2B5EF4-FFF2-40B4-BE49-F238E27FC236}">
              <a16:creationId xmlns:a16="http://schemas.microsoft.com/office/drawing/2014/main" id="{34A819A9-F9BC-47C9-89D9-356838BDC928}"/>
            </a:ext>
          </a:extLst>
        </xdr:cNvPr>
        <xdr:cNvSpPr/>
      </xdr:nvSpPr>
      <xdr:spPr>
        <a:xfrm>
          <a:off x="9791700" y="695324"/>
          <a:ext cx="4493398" cy="559050"/>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a:t>FIM</a:t>
          </a:r>
          <a:r>
            <a:rPr lang="pt-BR" sz="1200" b="1" baseline="0"/>
            <a:t> DESTA PLANILHA</a:t>
          </a:r>
          <a:endParaRPr lang="pt-BR" sz="1200" b="1"/>
        </a:p>
        <a:p>
          <a:pPr algn="ctr"/>
          <a:r>
            <a:rPr lang="pt-BR" sz="1200" b="0"/>
            <a:t>CLIQUE</a:t>
          </a:r>
          <a:r>
            <a:rPr lang="pt-BR" sz="1200" b="0" baseline="0"/>
            <a:t> AQUI </a:t>
          </a:r>
        </a:p>
      </xdr:txBody>
    </xdr:sp>
    <xdr:clientData/>
  </xdr:twoCellAnchor>
  <xdr:twoCellAnchor>
    <xdr:from>
      <xdr:col>1</xdr:col>
      <xdr:colOff>3596053</xdr:colOff>
      <xdr:row>145</xdr:row>
      <xdr:rowOff>36635</xdr:rowOff>
    </xdr:from>
    <xdr:to>
      <xdr:col>4</xdr:col>
      <xdr:colOff>1831528</xdr:colOff>
      <xdr:row>145</xdr:row>
      <xdr:rowOff>373380</xdr:rowOff>
    </xdr:to>
    <xdr:sp macro="" textlink="">
      <xdr:nvSpPr>
        <xdr:cNvPr id="5" name="Retângulo: Cantos Arredondados 4">
          <a:hlinkClick xmlns:r="http://schemas.openxmlformats.org/officeDocument/2006/relationships" r:id="rId4"/>
          <a:extLst>
            <a:ext uri="{FF2B5EF4-FFF2-40B4-BE49-F238E27FC236}">
              <a16:creationId xmlns:a16="http://schemas.microsoft.com/office/drawing/2014/main" id="{D575C853-32BD-47BF-8DEA-13EB42F4050C}"/>
            </a:ext>
          </a:extLst>
        </xdr:cNvPr>
        <xdr:cNvSpPr/>
      </xdr:nvSpPr>
      <xdr:spPr>
        <a:xfrm>
          <a:off x="4182793" y="31110995"/>
          <a:ext cx="4110495" cy="336745"/>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baseline="0">
              <a:solidFill>
                <a:schemeClr val="bg1"/>
              </a:solidFill>
              <a:latin typeface="+mn-lt"/>
            </a:rPr>
            <a:t>INÍCIO DESTA PLANILHA</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0">
              <a:solidFill>
                <a:schemeClr val="bg1"/>
              </a:solidFill>
              <a:effectLst/>
              <a:latin typeface="+mn-lt"/>
              <a:ea typeface="+mn-ea"/>
              <a:cs typeface="+mn-cs"/>
            </a:rPr>
            <a:t>CLIQUE</a:t>
          </a:r>
          <a:r>
            <a:rPr lang="pt-BR" sz="1200" b="0" baseline="0">
              <a:solidFill>
                <a:schemeClr val="bg1"/>
              </a:solidFill>
              <a:effectLst/>
              <a:latin typeface="+mn-lt"/>
              <a:ea typeface="+mn-ea"/>
              <a:cs typeface="+mn-cs"/>
            </a:rPr>
            <a:t> AQUI</a:t>
          </a:r>
          <a:endParaRPr lang="pt-BR" sz="1200"/>
        </a:p>
      </xdr:txBody>
    </xdr:sp>
    <xdr:clientData/>
  </xdr:twoCellAnchor>
  <xdr:twoCellAnchor>
    <xdr:from>
      <xdr:col>4</xdr:col>
      <xdr:colOff>1876425</xdr:colOff>
      <xdr:row>145</xdr:row>
      <xdr:rowOff>46159</xdr:rowOff>
    </xdr:from>
    <xdr:to>
      <xdr:col>6</xdr:col>
      <xdr:colOff>2438401</xdr:colOff>
      <xdr:row>145</xdr:row>
      <xdr:rowOff>388620</xdr:rowOff>
    </xdr:to>
    <xdr:sp macro="" textlink="">
      <xdr:nvSpPr>
        <xdr:cNvPr id="6" name="Retângulo: Cantos Arredondados 5">
          <a:hlinkClick xmlns:r="http://schemas.openxmlformats.org/officeDocument/2006/relationships" r:id="rId5"/>
          <a:extLst>
            <a:ext uri="{FF2B5EF4-FFF2-40B4-BE49-F238E27FC236}">
              <a16:creationId xmlns:a16="http://schemas.microsoft.com/office/drawing/2014/main" id="{3317700B-B535-43DB-B651-66E3E8FEFA34}"/>
            </a:ext>
          </a:extLst>
        </xdr:cNvPr>
        <xdr:cNvSpPr/>
      </xdr:nvSpPr>
      <xdr:spPr>
        <a:xfrm>
          <a:off x="8338185" y="31120519"/>
          <a:ext cx="6261736" cy="342461"/>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baseline="0">
              <a:solidFill>
                <a:schemeClr val="bg1"/>
              </a:solidFill>
              <a:latin typeface="+mn-lt"/>
            </a:rPr>
            <a:t>NOTAS EXPLICATIVAS DOS CÁLCULOS ADOTADOS NESTA PLANILHA</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0">
              <a:solidFill>
                <a:schemeClr val="bg1"/>
              </a:solidFill>
              <a:effectLst/>
              <a:latin typeface="+mn-lt"/>
              <a:ea typeface="+mn-ea"/>
              <a:cs typeface="+mn-cs"/>
            </a:rPr>
            <a:t>CLIQUE</a:t>
          </a:r>
          <a:r>
            <a:rPr lang="pt-BR" sz="1200" b="0" baseline="0">
              <a:solidFill>
                <a:schemeClr val="bg1"/>
              </a:solidFill>
              <a:effectLst/>
              <a:latin typeface="+mn-lt"/>
              <a:ea typeface="+mn-ea"/>
              <a:cs typeface="+mn-cs"/>
            </a:rPr>
            <a:t> AQUI </a:t>
          </a:r>
          <a:endParaRPr lang="pt-BR" sz="12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238125</xdr:colOff>
      <xdr:row>0</xdr:row>
      <xdr:rowOff>38100</xdr:rowOff>
    </xdr:from>
    <xdr:to>
      <xdr:col>5</xdr:col>
      <xdr:colOff>2381251</xdr:colOff>
      <xdr:row>3</xdr:row>
      <xdr:rowOff>95250</xdr:rowOff>
    </xdr:to>
    <xdr:sp macro="" textlink="">
      <xdr:nvSpPr>
        <xdr:cNvPr id="2" name="Retângulo: Cantos Arredondados 1">
          <a:hlinkClick xmlns:r="http://schemas.openxmlformats.org/officeDocument/2006/relationships" r:id="rId1"/>
          <a:extLst>
            <a:ext uri="{FF2B5EF4-FFF2-40B4-BE49-F238E27FC236}">
              <a16:creationId xmlns:a16="http://schemas.microsoft.com/office/drawing/2014/main" id="{EB3B24B3-B6F9-448C-B7FD-1B48286E4BE1}"/>
            </a:ext>
          </a:extLst>
        </xdr:cNvPr>
        <xdr:cNvSpPr/>
      </xdr:nvSpPr>
      <xdr:spPr>
        <a:xfrm>
          <a:off x="9296400" y="38100"/>
          <a:ext cx="2143126" cy="609600"/>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indent="0" algn="ctr"/>
          <a:r>
            <a:rPr lang="pt-BR" sz="1200" b="1" baseline="0">
              <a:solidFill>
                <a:schemeClr val="lt1"/>
              </a:solidFill>
              <a:latin typeface="+mn-lt"/>
              <a:ea typeface="+mn-ea"/>
              <a:cs typeface="+mn-cs"/>
            </a:rPr>
            <a:t>"PROPOSTA_GLOBAL"</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aseline="0">
              <a:solidFill>
                <a:schemeClr val="lt1"/>
              </a:solidFill>
              <a:latin typeface="+mn-lt"/>
              <a:ea typeface="+mn-ea"/>
              <a:cs typeface="+mn-cs"/>
            </a:rPr>
            <a:t>CLIQUE AQUI </a:t>
          </a:r>
        </a:p>
      </xdr:txBody>
    </xdr:sp>
    <xdr:clientData/>
  </xdr:twoCellAnchor>
  <xdr:twoCellAnchor>
    <xdr:from>
      <xdr:col>0</xdr:col>
      <xdr:colOff>57883</xdr:colOff>
      <xdr:row>146</xdr:row>
      <xdr:rowOff>83820</xdr:rowOff>
    </xdr:from>
    <xdr:to>
      <xdr:col>1</xdr:col>
      <xdr:colOff>3436858</xdr:colOff>
      <xdr:row>148</xdr:row>
      <xdr:rowOff>144780</xdr:rowOff>
    </xdr:to>
    <xdr:sp macro="" textlink="">
      <xdr:nvSpPr>
        <xdr:cNvPr id="3" name="Retângulo: Cantos Arredondados 2">
          <a:hlinkClick xmlns:r="http://schemas.openxmlformats.org/officeDocument/2006/relationships" r:id="rId2"/>
          <a:extLst>
            <a:ext uri="{FF2B5EF4-FFF2-40B4-BE49-F238E27FC236}">
              <a16:creationId xmlns:a16="http://schemas.microsoft.com/office/drawing/2014/main" id="{07B968AC-34FE-481D-AA2F-AF298F0689A3}"/>
            </a:ext>
          </a:extLst>
        </xdr:cNvPr>
        <xdr:cNvSpPr/>
      </xdr:nvSpPr>
      <xdr:spPr>
        <a:xfrm>
          <a:off x="57883" y="30350460"/>
          <a:ext cx="3965715" cy="457200"/>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pt-BR" sz="1200" b="1" baseline="0">
              <a:solidFill>
                <a:schemeClr val="lt1"/>
              </a:solidFill>
              <a:effectLst/>
              <a:latin typeface="+mn-lt"/>
              <a:ea typeface="+mn-ea"/>
              <a:cs typeface="+mn-cs"/>
            </a:rPr>
            <a:t>"PROPOSTA_GLOBAL"</a:t>
          </a:r>
          <a:endParaRPr lang="pt-BR" sz="1200" b="1">
            <a:effectLst/>
            <a:latin typeface="+mn-lt"/>
          </a:endParaRPr>
        </a:p>
        <a:p>
          <a:pPr algn="ctr"/>
          <a:r>
            <a:rPr lang="pt-BR" sz="1200" b="0">
              <a:latin typeface="+mn-lt"/>
            </a:rPr>
            <a:t>CLIQUE</a:t>
          </a:r>
          <a:r>
            <a:rPr lang="pt-BR" sz="1200" b="0" baseline="0">
              <a:latin typeface="+mn-lt"/>
            </a:rPr>
            <a:t> AQUI</a:t>
          </a:r>
          <a:endParaRPr lang="pt-BR" sz="1100"/>
        </a:p>
      </xdr:txBody>
    </xdr:sp>
    <xdr:clientData/>
  </xdr:twoCellAnchor>
  <xdr:twoCellAnchor>
    <xdr:from>
      <xdr:col>5</xdr:col>
      <xdr:colOff>228600</xdr:colOff>
      <xdr:row>3</xdr:row>
      <xdr:rowOff>104775</xdr:rowOff>
    </xdr:from>
    <xdr:to>
      <xdr:col>5</xdr:col>
      <xdr:colOff>2371725</xdr:colOff>
      <xdr:row>6</xdr:row>
      <xdr:rowOff>171449</xdr:rowOff>
    </xdr:to>
    <xdr:sp macro="" textlink="">
      <xdr:nvSpPr>
        <xdr:cNvPr id="4" name="Retângulo: Cantos Arredondados 3">
          <a:hlinkClick xmlns:r="http://schemas.openxmlformats.org/officeDocument/2006/relationships" r:id="rId3"/>
          <a:extLst>
            <a:ext uri="{FF2B5EF4-FFF2-40B4-BE49-F238E27FC236}">
              <a16:creationId xmlns:a16="http://schemas.microsoft.com/office/drawing/2014/main" id="{101A3972-8A29-4938-8E0C-B8BD78DA4DBD}"/>
            </a:ext>
          </a:extLst>
        </xdr:cNvPr>
        <xdr:cNvSpPr/>
      </xdr:nvSpPr>
      <xdr:spPr>
        <a:xfrm>
          <a:off x="9286875" y="657225"/>
          <a:ext cx="2143125" cy="495299"/>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a:t>FIM</a:t>
          </a:r>
          <a:r>
            <a:rPr lang="pt-BR" sz="1200" b="1" baseline="0"/>
            <a:t> DESTA PLANILHA</a:t>
          </a:r>
          <a:endParaRPr lang="pt-BR" sz="1200" b="1"/>
        </a:p>
        <a:p>
          <a:pPr algn="ctr"/>
          <a:r>
            <a:rPr lang="pt-BR" sz="1200" b="0"/>
            <a:t>CLIQUE</a:t>
          </a:r>
          <a:r>
            <a:rPr lang="pt-BR" sz="1200" b="0" baseline="0"/>
            <a:t> AQUI </a:t>
          </a:r>
        </a:p>
      </xdr:txBody>
    </xdr:sp>
    <xdr:clientData/>
  </xdr:twoCellAnchor>
  <xdr:twoCellAnchor>
    <xdr:from>
      <xdr:col>1</xdr:col>
      <xdr:colOff>3563668</xdr:colOff>
      <xdr:row>146</xdr:row>
      <xdr:rowOff>106680</xdr:rowOff>
    </xdr:from>
    <xdr:to>
      <xdr:col>4</xdr:col>
      <xdr:colOff>1799143</xdr:colOff>
      <xdr:row>148</xdr:row>
      <xdr:rowOff>155629</xdr:rowOff>
    </xdr:to>
    <xdr:sp macro="" textlink="">
      <xdr:nvSpPr>
        <xdr:cNvPr id="5" name="Retângulo: Cantos Arredondados 4">
          <a:hlinkClick xmlns:r="http://schemas.openxmlformats.org/officeDocument/2006/relationships" r:id="rId4"/>
          <a:extLst>
            <a:ext uri="{FF2B5EF4-FFF2-40B4-BE49-F238E27FC236}">
              <a16:creationId xmlns:a16="http://schemas.microsoft.com/office/drawing/2014/main" id="{FFE10BA5-698E-48DA-9F5D-667345F083F5}"/>
            </a:ext>
          </a:extLst>
        </xdr:cNvPr>
        <xdr:cNvSpPr/>
      </xdr:nvSpPr>
      <xdr:spPr>
        <a:xfrm>
          <a:off x="4150408" y="30373320"/>
          <a:ext cx="4110495" cy="445189"/>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baseline="0">
              <a:solidFill>
                <a:schemeClr val="bg1"/>
              </a:solidFill>
              <a:latin typeface="+mn-lt"/>
            </a:rPr>
            <a:t>INÍCIO DESTA PLANILHA</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0">
              <a:solidFill>
                <a:schemeClr val="bg1"/>
              </a:solidFill>
              <a:effectLst/>
              <a:latin typeface="+mn-lt"/>
              <a:ea typeface="+mn-ea"/>
              <a:cs typeface="+mn-cs"/>
            </a:rPr>
            <a:t>CLIQUE</a:t>
          </a:r>
          <a:r>
            <a:rPr lang="pt-BR" sz="1200" b="0" baseline="0">
              <a:solidFill>
                <a:schemeClr val="bg1"/>
              </a:solidFill>
              <a:effectLst/>
              <a:latin typeface="+mn-lt"/>
              <a:ea typeface="+mn-ea"/>
              <a:cs typeface="+mn-cs"/>
            </a:rPr>
            <a:t> AQUI</a:t>
          </a:r>
          <a:endParaRPr lang="pt-BR" sz="1200"/>
        </a:p>
      </xdr:txBody>
    </xdr:sp>
    <xdr:clientData/>
  </xdr:twoCellAnchor>
  <xdr:twoCellAnchor>
    <xdr:from>
      <xdr:col>4</xdr:col>
      <xdr:colOff>1891665</xdr:colOff>
      <xdr:row>146</xdr:row>
      <xdr:rowOff>122359</xdr:rowOff>
    </xdr:from>
    <xdr:to>
      <xdr:col>5</xdr:col>
      <xdr:colOff>2522221</xdr:colOff>
      <xdr:row>148</xdr:row>
      <xdr:rowOff>129540</xdr:rowOff>
    </xdr:to>
    <xdr:sp macro="" textlink="">
      <xdr:nvSpPr>
        <xdr:cNvPr id="6" name="Retângulo: Cantos Arredondados 5">
          <a:hlinkClick xmlns:r="http://schemas.openxmlformats.org/officeDocument/2006/relationships" r:id="rId5"/>
          <a:extLst>
            <a:ext uri="{FF2B5EF4-FFF2-40B4-BE49-F238E27FC236}">
              <a16:creationId xmlns:a16="http://schemas.microsoft.com/office/drawing/2014/main" id="{D4B66F31-2058-425A-B17E-96AAD9ED4975}"/>
            </a:ext>
          </a:extLst>
        </xdr:cNvPr>
        <xdr:cNvSpPr/>
      </xdr:nvSpPr>
      <xdr:spPr>
        <a:xfrm>
          <a:off x="8353425" y="30388999"/>
          <a:ext cx="3480436" cy="403421"/>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baseline="0">
              <a:solidFill>
                <a:schemeClr val="bg1"/>
              </a:solidFill>
              <a:latin typeface="+mn-lt"/>
            </a:rPr>
            <a:t>NOTAS EXPLICATIVAS DOS CÁLCULOS ADOTADOS NESTA PLANILHA</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0">
              <a:solidFill>
                <a:schemeClr val="bg1"/>
              </a:solidFill>
              <a:effectLst/>
              <a:latin typeface="+mn-lt"/>
              <a:ea typeface="+mn-ea"/>
              <a:cs typeface="+mn-cs"/>
            </a:rPr>
            <a:t>CLIQUE</a:t>
          </a:r>
          <a:r>
            <a:rPr lang="pt-BR" sz="1200" b="0" baseline="0">
              <a:solidFill>
                <a:schemeClr val="bg1"/>
              </a:solidFill>
              <a:effectLst/>
              <a:latin typeface="+mn-lt"/>
              <a:ea typeface="+mn-ea"/>
              <a:cs typeface="+mn-cs"/>
            </a:rPr>
            <a:t> AQUI </a:t>
          </a:r>
          <a:endParaRPr lang="pt-BR" sz="12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609599</xdr:colOff>
      <xdr:row>0</xdr:row>
      <xdr:rowOff>19052</xdr:rowOff>
    </xdr:from>
    <xdr:to>
      <xdr:col>5</xdr:col>
      <xdr:colOff>3038474</xdr:colOff>
      <xdr:row>2</xdr:row>
      <xdr:rowOff>66675</xdr:rowOff>
    </xdr:to>
    <xdr:sp macro="" textlink="">
      <xdr:nvSpPr>
        <xdr:cNvPr id="2" name="Retângulo: Cantos Arredondados 1">
          <a:hlinkClick xmlns:r="http://schemas.openxmlformats.org/officeDocument/2006/relationships" r:id="rId1"/>
          <a:extLst>
            <a:ext uri="{FF2B5EF4-FFF2-40B4-BE49-F238E27FC236}">
              <a16:creationId xmlns:a16="http://schemas.microsoft.com/office/drawing/2014/main" id="{5821E132-4B1A-4647-AB1D-B2430DF97EB1}"/>
            </a:ext>
          </a:extLst>
        </xdr:cNvPr>
        <xdr:cNvSpPr/>
      </xdr:nvSpPr>
      <xdr:spPr>
        <a:xfrm>
          <a:off x="9934574" y="19052"/>
          <a:ext cx="2428875" cy="533398"/>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indent="0" algn="ctr"/>
          <a:r>
            <a:rPr lang="pt-BR" sz="1200" b="1" baseline="0">
              <a:solidFill>
                <a:schemeClr val="lt1"/>
              </a:solidFill>
              <a:latin typeface="+mn-lt"/>
              <a:ea typeface="+mn-ea"/>
              <a:cs typeface="+mn-cs"/>
            </a:rPr>
            <a:t>"PROPOSTA_GLOBAL"</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aseline="0">
              <a:solidFill>
                <a:schemeClr val="lt1"/>
              </a:solidFill>
              <a:latin typeface="+mn-lt"/>
              <a:ea typeface="+mn-ea"/>
              <a:cs typeface="+mn-cs"/>
            </a:rPr>
            <a:t>CLIQUE AQUI </a:t>
          </a:r>
        </a:p>
      </xdr:txBody>
    </xdr:sp>
    <xdr:clientData/>
  </xdr:twoCellAnchor>
  <xdr:twoCellAnchor>
    <xdr:from>
      <xdr:col>0</xdr:col>
      <xdr:colOff>65503</xdr:colOff>
      <xdr:row>147</xdr:row>
      <xdr:rowOff>41910</xdr:rowOff>
    </xdr:from>
    <xdr:to>
      <xdr:col>1</xdr:col>
      <xdr:colOff>3444478</xdr:colOff>
      <xdr:row>148</xdr:row>
      <xdr:rowOff>152400</xdr:rowOff>
    </xdr:to>
    <xdr:sp macro="" textlink="">
      <xdr:nvSpPr>
        <xdr:cNvPr id="3" name="Retângulo: Cantos Arredondados 2">
          <a:hlinkClick xmlns:r="http://schemas.openxmlformats.org/officeDocument/2006/relationships" r:id="rId2"/>
          <a:extLst>
            <a:ext uri="{FF2B5EF4-FFF2-40B4-BE49-F238E27FC236}">
              <a16:creationId xmlns:a16="http://schemas.microsoft.com/office/drawing/2014/main" id="{1EAA1CB4-DEDF-4CAC-AA59-5B4DE00B08A2}"/>
            </a:ext>
          </a:extLst>
        </xdr:cNvPr>
        <xdr:cNvSpPr/>
      </xdr:nvSpPr>
      <xdr:spPr>
        <a:xfrm>
          <a:off x="65503" y="30941010"/>
          <a:ext cx="3965715" cy="308610"/>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pt-BR" sz="1200" b="1" baseline="0">
              <a:solidFill>
                <a:schemeClr val="lt1"/>
              </a:solidFill>
              <a:effectLst/>
              <a:latin typeface="+mn-lt"/>
              <a:ea typeface="+mn-ea"/>
              <a:cs typeface="+mn-cs"/>
            </a:rPr>
            <a:t>"PROPOSTA_GLOBAL"</a:t>
          </a:r>
          <a:endParaRPr lang="pt-BR" sz="1200" b="1">
            <a:effectLst/>
            <a:latin typeface="+mn-lt"/>
          </a:endParaRPr>
        </a:p>
        <a:p>
          <a:pPr algn="ctr"/>
          <a:r>
            <a:rPr lang="pt-BR" sz="1200" b="0">
              <a:latin typeface="+mn-lt"/>
            </a:rPr>
            <a:t>CLIQUE</a:t>
          </a:r>
          <a:r>
            <a:rPr lang="pt-BR" sz="1200" b="0" baseline="0">
              <a:latin typeface="+mn-lt"/>
            </a:rPr>
            <a:t> AQUI</a:t>
          </a:r>
          <a:endParaRPr lang="pt-BR" sz="1100"/>
        </a:p>
      </xdr:txBody>
    </xdr:sp>
    <xdr:clientData/>
  </xdr:twoCellAnchor>
  <xdr:twoCellAnchor>
    <xdr:from>
      <xdr:col>5</xdr:col>
      <xdr:colOff>590550</xdr:colOff>
      <xdr:row>2</xdr:row>
      <xdr:rowOff>76200</xdr:rowOff>
    </xdr:from>
    <xdr:to>
      <xdr:col>5</xdr:col>
      <xdr:colOff>3028950</xdr:colOff>
      <xdr:row>6</xdr:row>
      <xdr:rowOff>28575</xdr:rowOff>
    </xdr:to>
    <xdr:sp macro="" textlink="">
      <xdr:nvSpPr>
        <xdr:cNvPr id="4" name="Retângulo: Cantos Arredondados 3">
          <a:hlinkClick xmlns:r="http://schemas.openxmlformats.org/officeDocument/2006/relationships" r:id="rId3"/>
          <a:extLst>
            <a:ext uri="{FF2B5EF4-FFF2-40B4-BE49-F238E27FC236}">
              <a16:creationId xmlns:a16="http://schemas.microsoft.com/office/drawing/2014/main" id="{161D0607-4349-4F70-B969-6922D2542CD2}"/>
            </a:ext>
          </a:extLst>
        </xdr:cNvPr>
        <xdr:cNvSpPr/>
      </xdr:nvSpPr>
      <xdr:spPr>
        <a:xfrm>
          <a:off x="9915525" y="561975"/>
          <a:ext cx="2438400" cy="523875"/>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a:t>FIM</a:t>
          </a:r>
          <a:r>
            <a:rPr lang="pt-BR" sz="1200" b="1" baseline="0"/>
            <a:t> DESTA PLANILHA</a:t>
          </a:r>
        </a:p>
        <a:p>
          <a:pPr algn="ctr"/>
          <a:r>
            <a:rPr lang="pt-BR" sz="1200" b="0"/>
            <a:t>CLIQUE</a:t>
          </a:r>
          <a:r>
            <a:rPr lang="pt-BR" sz="1200" b="0" baseline="0"/>
            <a:t> AQUI </a:t>
          </a:r>
        </a:p>
      </xdr:txBody>
    </xdr:sp>
    <xdr:clientData/>
  </xdr:twoCellAnchor>
  <xdr:twoCellAnchor>
    <xdr:from>
      <xdr:col>1</xdr:col>
      <xdr:colOff>3517948</xdr:colOff>
      <xdr:row>147</xdr:row>
      <xdr:rowOff>53779</xdr:rowOff>
    </xdr:from>
    <xdr:to>
      <xdr:col>4</xdr:col>
      <xdr:colOff>1753423</xdr:colOff>
      <xdr:row>148</xdr:row>
      <xdr:rowOff>144780</xdr:rowOff>
    </xdr:to>
    <xdr:sp macro="" textlink="">
      <xdr:nvSpPr>
        <xdr:cNvPr id="5" name="Retângulo: Cantos Arredondados 4">
          <a:hlinkClick xmlns:r="http://schemas.openxmlformats.org/officeDocument/2006/relationships" r:id="rId4"/>
          <a:extLst>
            <a:ext uri="{FF2B5EF4-FFF2-40B4-BE49-F238E27FC236}">
              <a16:creationId xmlns:a16="http://schemas.microsoft.com/office/drawing/2014/main" id="{414B805C-80DB-4DBF-9D4D-A26FBC694895}"/>
            </a:ext>
          </a:extLst>
        </xdr:cNvPr>
        <xdr:cNvSpPr/>
      </xdr:nvSpPr>
      <xdr:spPr>
        <a:xfrm>
          <a:off x="4104688" y="30952879"/>
          <a:ext cx="4110495" cy="289121"/>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baseline="0">
              <a:solidFill>
                <a:schemeClr val="bg1"/>
              </a:solidFill>
              <a:latin typeface="+mn-lt"/>
            </a:rPr>
            <a:t>INÍCIO DESTA PLANILHA</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0">
              <a:solidFill>
                <a:schemeClr val="bg1"/>
              </a:solidFill>
              <a:effectLst/>
              <a:latin typeface="+mn-lt"/>
              <a:ea typeface="+mn-ea"/>
              <a:cs typeface="+mn-cs"/>
            </a:rPr>
            <a:t>CLIQUE</a:t>
          </a:r>
          <a:r>
            <a:rPr lang="pt-BR" sz="1200" b="0" baseline="0">
              <a:solidFill>
                <a:schemeClr val="bg1"/>
              </a:solidFill>
              <a:effectLst/>
              <a:latin typeface="+mn-lt"/>
              <a:ea typeface="+mn-ea"/>
              <a:cs typeface="+mn-cs"/>
            </a:rPr>
            <a:t> AQUI</a:t>
          </a:r>
          <a:endParaRPr lang="pt-BR" sz="1200"/>
        </a:p>
      </xdr:txBody>
    </xdr:sp>
    <xdr:clientData/>
  </xdr:twoCellAnchor>
  <xdr:twoCellAnchor>
    <xdr:from>
      <xdr:col>4</xdr:col>
      <xdr:colOff>1845945</xdr:colOff>
      <xdr:row>147</xdr:row>
      <xdr:rowOff>46159</xdr:rowOff>
    </xdr:from>
    <xdr:to>
      <xdr:col>5</xdr:col>
      <xdr:colOff>3086101</xdr:colOff>
      <xdr:row>148</xdr:row>
      <xdr:rowOff>144780</xdr:rowOff>
    </xdr:to>
    <xdr:sp macro="" textlink="">
      <xdr:nvSpPr>
        <xdr:cNvPr id="6" name="Retângulo: Cantos Arredondados 5">
          <a:hlinkClick xmlns:r="http://schemas.openxmlformats.org/officeDocument/2006/relationships" r:id="rId5"/>
          <a:extLst>
            <a:ext uri="{FF2B5EF4-FFF2-40B4-BE49-F238E27FC236}">
              <a16:creationId xmlns:a16="http://schemas.microsoft.com/office/drawing/2014/main" id="{AC3AFE7A-F330-4FF0-9BB2-D974C1C2BC85}"/>
            </a:ext>
          </a:extLst>
        </xdr:cNvPr>
        <xdr:cNvSpPr/>
      </xdr:nvSpPr>
      <xdr:spPr>
        <a:xfrm>
          <a:off x="8307705" y="30945259"/>
          <a:ext cx="4364356" cy="296741"/>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baseline="0">
              <a:solidFill>
                <a:schemeClr val="bg1"/>
              </a:solidFill>
              <a:latin typeface="+mn-lt"/>
            </a:rPr>
            <a:t>NOTAS EXPLICATIVAS DOS CÁLCULOS ADOTADOS NESTA PLANILHA</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0">
              <a:solidFill>
                <a:schemeClr val="bg1"/>
              </a:solidFill>
              <a:effectLst/>
              <a:latin typeface="+mn-lt"/>
              <a:ea typeface="+mn-ea"/>
              <a:cs typeface="+mn-cs"/>
            </a:rPr>
            <a:t>CLIQUE</a:t>
          </a:r>
          <a:r>
            <a:rPr lang="pt-BR" sz="1200" b="0" baseline="0">
              <a:solidFill>
                <a:schemeClr val="bg1"/>
              </a:solidFill>
              <a:effectLst/>
              <a:latin typeface="+mn-lt"/>
              <a:ea typeface="+mn-ea"/>
              <a:cs typeface="+mn-cs"/>
            </a:rPr>
            <a:t> AQUI </a:t>
          </a:r>
          <a:endParaRPr lang="pt-BR" sz="12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2581275</xdr:colOff>
      <xdr:row>0</xdr:row>
      <xdr:rowOff>57151</xdr:rowOff>
    </xdr:from>
    <xdr:to>
      <xdr:col>5</xdr:col>
      <xdr:colOff>2743200</xdr:colOff>
      <xdr:row>2</xdr:row>
      <xdr:rowOff>152400</xdr:rowOff>
    </xdr:to>
    <xdr:sp macro="" textlink="">
      <xdr:nvSpPr>
        <xdr:cNvPr id="2" name="Retângulo: Cantos Arredondados 1">
          <a:hlinkClick xmlns:r="http://schemas.openxmlformats.org/officeDocument/2006/relationships" r:id="rId1"/>
          <a:extLst>
            <a:ext uri="{FF2B5EF4-FFF2-40B4-BE49-F238E27FC236}">
              <a16:creationId xmlns:a16="http://schemas.microsoft.com/office/drawing/2014/main" id="{83C69D24-DE19-4FBA-A47D-C33C37C77155}"/>
            </a:ext>
          </a:extLst>
        </xdr:cNvPr>
        <xdr:cNvSpPr/>
      </xdr:nvSpPr>
      <xdr:spPr>
        <a:xfrm>
          <a:off x="8867775" y="57151"/>
          <a:ext cx="2867025" cy="542924"/>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indent="0" algn="ctr"/>
          <a:r>
            <a:rPr lang="pt-BR" sz="1200" b="1" baseline="0">
              <a:solidFill>
                <a:schemeClr val="lt1"/>
              </a:solidFill>
              <a:latin typeface="+mn-lt"/>
              <a:ea typeface="+mn-ea"/>
              <a:cs typeface="+mn-cs"/>
            </a:rPr>
            <a:t>"PROPOSTA_GLOBAL"</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aseline="0">
              <a:solidFill>
                <a:schemeClr val="lt1"/>
              </a:solidFill>
              <a:latin typeface="+mn-lt"/>
              <a:ea typeface="+mn-ea"/>
              <a:cs typeface="+mn-cs"/>
            </a:rPr>
            <a:t>CLIQUE AQUI </a:t>
          </a:r>
        </a:p>
      </xdr:txBody>
    </xdr:sp>
    <xdr:clientData/>
  </xdr:twoCellAnchor>
  <xdr:twoCellAnchor>
    <xdr:from>
      <xdr:col>0</xdr:col>
      <xdr:colOff>57883</xdr:colOff>
      <xdr:row>146</xdr:row>
      <xdr:rowOff>19050</xdr:rowOff>
    </xdr:from>
    <xdr:to>
      <xdr:col>1</xdr:col>
      <xdr:colOff>3436858</xdr:colOff>
      <xdr:row>148</xdr:row>
      <xdr:rowOff>159000</xdr:rowOff>
    </xdr:to>
    <xdr:sp macro="" textlink="">
      <xdr:nvSpPr>
        <xdr:cNvPr id="3" name="Retângulo: Cantos Arredondados 2">
          <a:hlinkClick xmlns:r="http://schemas.openxmlformats.org/officeDocument/2006/relationships" r:id="rId2"/>
          <a:extLst>
            <a:ext uri="{FF2B5EF4-FFF2-40B4-BE49-F238E27FC236}">
              <a16:creationId xmlns:a16="http://schemas.microsoft.com/office/drawing/2014/main" id="{F176311A-2538-4CCC-A3C0-2A8E9264007E}"/>
            </a:ext>
          </a:extLst>
        </xdr:cNvPr>
        <xdr:cNvSpPr/>
      </xdr:nvSpPr>
      <xdr:spPr>
        <a:xfrm>
          <a:off x="57883" y="32156400"/>
          <a:ext cx="3960000" cy="540000"/>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pt-BR" sz="1200" b="1" baseline="0">
              <a:solidFill>
                <a:schemeClr val="lt1"/>
              </a:solidFill>
              <a:effectLst/>
              <a:latin typeface="+mn-lt"/>
              <a:ea typeface="+mn-ea"/>
              <a:cs typeface="+mn-cs"/>
            </a:rPr>
            <a:t>"PROPOSTA_GLOBAL"</a:t>
          </a:r>
          <a:endParaRPr lang="pt-BR" sz="1200" b="1">
            <a:effectLst/>
            <a:latin typeface="+mn-lt"/>
          </a:endParaRPr>
        </a:p>
        <a:p>
          <a:pPr algn="ctr"/>
          <a:r>
            <a:rPr lang="pt-BR" sz="1200" b="0">
              <a:latin typeface="+mn-lt"/>
            </a:rPr>
            <a:t>CLIQUE</a:t>
          </a:r>
          <a:r>
            <a:rPr lang="pt-BR" sz="1200" b="0" baseline="0">
              <a:latin typeface="+mn-lt"/>
            </a:rPr>
            <a:t> AQUI</a:t>
          </a:r>
          <a:endParaRPr lang="pt-BR" sz="1100"/>
        </a:p>
      </xdr:txBody>
    </xdr:sp>
    <xdr:clientData/>
  </xdr:twoCellAnchor>
  <xdr:twoCellAnchor>
    <xdr:from>
      <xdr:col>4</xdr:col>
      <xdr:colOff>2581275</xdr:colOff>
      <xdr:row>3</xdr:row>
      <xdr:rowOff>19050</xdr:rowOff>
    </xdr:from>
    <xdr:to>
      <xdr:col>5</xdr:col>
      <xdr:colOff>2750324</xdr:colOff>
      <xdr:row>6</xdr:row>
      <xdr:rowOff>133350</xdr:rowOff>
    </xdr:to>
    <xdr:sp macro="" textlink="">
      <xdr:nvSpPr>
        <xdr:cNvPr id="4" name="Retângulo: Cantos Arredondados 3">
          <a:hlinkClick xmlns:r="http://schemas.openxmlformats.org/officeDocument/2006/relationships" r:id="rId3"/>
          <a:extLst>
            <a:ext uri="{FF2B5EF4-FFF2-40B4-BE49-F238E27FC236}">
              <a16:creationId xmlns:a16="http://schemas.microsoft.com/office/drawing/2014/main" id="{A5FE3ED3-F274-4B67-B1D6-60118D63E53A}"/>
            </a:ext>
          </a:extLst>
        </xdr:cNvPr>
        <xdr:cNvSpPr/>
      </xdr:nvSpPr>
      <xdr:spPr>
        <a:xfrm>
          <a:off x="8867775" y="666750"/>
          <a:ext cx="2874149" cy="514350"/>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a:t>FIM</a:t>
          </a:r>
          <a:r>
            <a:rPr lang="pt-BR" sz="1200" b="1" baseline="0"/>
            <a:t> DESTA PLANILHA</a:t>
          </a:r>
          <a:endParaRPr lang="pt-BR" sz="1200" b="1"/>
        </a:p>
        <a:p>
          <a:pPr algn="ctr"/>
          <a:r>
            <a:rPr lang="pt-BR" sz="1200" b="0"/>
            <a:t>CLIQUE</a:t>
          </a:r>
          <a:r>
            <a:rPr lang="pt-BR" sz="1200" b="0" baseline="0"/>
            <a:t> AQUI </a:t>
          </a:r>
        </a:p>
      </xdr:txBody>
    </xdr:sp>
    <xdr:clientData/>
  </xdr:twoCellAnchor>
  <xdr:twoCellAnchor>
    <xdr:from>
      <xdr:col>1</xdr:col>
      <xdr:colOff>3586528</xdr:colOff>
      <xdr:row>146</xdr:row>
      <xdr:rowOff>46159</xdr:rowOff>
    </xdr:from>
    <xdr:to>
      <xdr:col>4</xdr:col>
      <xdr:colOff>1822003</xdr:colOff>
      <xdr:row>148</xdr:row>
      <xdr:rowOff>186109</xdr:rowOff>
    </xdr:to>
    <xdr:sp macro="" textlink="">
      <xdr:nvSpPr>
        <xdr:cNvPr id="5" name="Retângulo: Cantos Arredondados 4">
          <a:hlinkClick xmlns:r="http://schemas.openxmlformats.org/officeDocument/2006/relationships" r:id="rId4"/>
          <a:extLst>
            <a:ext uri="{FF2B5EF4-FFF2-40B4-BE49-F238E27FC236}">
              <a16:creationId xmlns:a16="http://schemas.microsoft.com/office/drawing/2014/main" id="{4903D930-3172-4A17-B3EA-37C35E850DEA}"/>
            </a:ext>
          </a:extLst>
        </xdr:cNvPr>
        <xdr:cNvSpPr/>
      </xdr:nvSpPr>
      <xdr:spPr>
        <a:xfrm>
          <a:off x="4167553" y="32183509"/>
          <a:ext cx="3960000" cy="540000"/>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baseline="0">
              <a:solidFill>
                <a:schemeClr val="bg1"/>
              </a:solidFill>
              <a:latin typeface="+mn-lt"/>
            </a:rPr>
            <a:t>INÍCIO DESTA PLANILHA</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0">
              <a:solidFill>
                <a:schemeClr val="bg1"/>
              </a:solidFill>
              <a:effectLst/>
              <a:latin typeface="+mn-lt"/>
              <a:ea typeface="+mn-ea"/>
              <a:cs typeface="+mn-cs"/>
            </a:rPr>
            <a:t>CLIQUE</a:t>
          </a:r>
          <a:r>
            <a:rPr lang="pt-BR" sz="1200" b="0" baseline="0">
              <a:solidFill>
                <a:schemeClr val="bg1"/>
              </a:solidFill>
              <a:effectLst/>
              <a:latin typeface="+mn-lt"/>
              <a:ea typeface="+mn-ea"/>
              <a:cs typeface="+mn-cs"/>
            </a:rPr>
            <a:t> AQUI</a:t>
          </a:r>
          <a:endParaRPr lang="pt-BR" sz="1200"/>
        </a:p>
      </xdr:txBody>
    </xdr:sp>
    <xdr:clientData/>
  </xdr:twoCellAnchor>
  <xdr:twoCellAnchor>
    <xdr:from>
      <xdr:col>4</xdr:col>
      <xdr:colOff>1914525</xdr:colOff>
      <xdr:row>146</xdr:row>
      <xdr:rowOff>46159</xdr:rowOff>
    </xdr:from>
    <xdr:to>
      <xdr:col>6</xdr:col>
      <xdr:colOff>1</xdr:colOff>
      <xdr:row>148</xdr:row>
      <xdr:rowOff>186109</xdr:rowOff>
    </xdr:to>
    <xdr:sp macro="" textlink="">
      <xdr:nvSpPr>
        <xdr:cNvPr id="6" name="Retângulo: Cantos Arredondados 5">
          <a:hlinkClick xmlns:r="http://schemas.openxmlformats.org/officeDocument/2006/relationships" r:id="rId5"/>
          <a:extLst>
            <a:ext uri="{FF2B5EF4-FFF2-40B4-BE49-F238E27FC236}">
              <a16:creationId xmlns:a16="http://schemas.microsoft.com/office/drawing/2014/main" id="{C6980887-83BF-4639-82EE-A18C2A3EA0EC}"/>
            </a:ext>
          </a:extLst>
        </xdr:cNvPr>
        <xdr:cNvSpPr/>
      </xdr:nvSpPr>
      <xdr:spPr>
        <a:xfrm>
          <a:off x="8220075" y="32183509"/>
          <a:ext cx="4191001" cy="540000"/>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lang="pt-BR" sz="1200" b="1" baseline="0">
              <a:solidFill>
                <a:schemeClr val="bg1"/>
              </a:solidFill>
              <a:latin typeface="+mn-lt"/>
            </a:rPr>
            <a:t>NOTAS EXPLICATIVAS DOS CÁLCULOS ADOTADOS NESTA PLANILHA</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0">
              <a:solidFill>
                <a:schemeClr val="bg1"/>
              </a:solidFill>
              <a:effectLst/>
              <a:latin typeface="+mn-lt"/>
              <a:ea typeface="+mn-ea"/>
              <a:cs typeface="+mn-cs"/>
            </a:rPr>
            <a:t>CLIQUE</a:t>
          </a:r>
          <a:r>
            <a:rPr lang="pt-BR" sz="1200" b="0" baseline="0">
              <a:solidFill>
                <a:schemeClr val="bg1"/>
              </a:solidFill>
              <a:effectLst/>
              <a:latin typeface="+mn-lt"/>
              <a:ea typeface="+mn-ea"/>
              <a:cs typeface="+mn-cs"/>
            </a:rPr>
            <a:t> AQUI </a:t>
          </a:r>
          <a:endParaRPr lang="pt-BR" sz="12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719665</xdr:colOff>
      <xdr:row>2</xdr:row>
      <xdr:rowOff>39158</xdr:rowOff>
    </xdr:from>
    <xdr:to>
      <xdr:col>5</xdr:col>
      <xdr:colOff>1196916</xdr:colOff>
      <xdr:row>5</xdr:row>
      <xdr:rowOff>158025</xdr:rowOff>
    </xdr:to>
    <xdr:sp macro="" textlink="">
      <xdr:nvSpPr>
        <xdr:cNvPr id="2" name="Retângulo: Cantos Arredondados 1">
          <a:hlinkClick xmlns:r="http://schemas.openxmlformats.org/officeDocument/2006/relationships" r:id="rId1"/>
          <a:extLst>
            <a:ext uri="{FF2B5EF4-FFF2-40B4-BE49-F238E27FC236}">
              <a16:creationId xmlns:a16="http://schemas.microsoft.com/office/drawing/2014/main" id="{0644FEAC-EC4E-4F40-BDD4-2BE615C352AB}"/>
            </a:ext>
          </a:extLst>
        </xdr:cNvPr>
        <xdr:cNvSpPr/>
      </xdr:nvSpPr>
      <xdr:spPr>
        <a:xfrm>
          <a:off x="6297082" y="420158"/>
          <a:ext cx="1715501" cy="722117"/>
        </a:xfrm>
        <a:prstGeom prst="roundRect">
          <a:avLst/>
        </a:prstGeom>
        <a:gradFill flip="none" rotWithShape="1">
          <a:gsLst>
            <a:gs pos="0">
              <a:schemeClr val="accent5">
                <a:lumMod val="67000"/>
              </a:schemeClr>
            </a:gs>
            <a:gs pos="48000">
              <a:schemeClr val="accent5">
                <a:lumMod val="97000"/>
                <a:lumOff val="3000"/>
              </a:schemeClr>
            </a:gs>
            <a:gs pos="100000">
              <a:schemeClr val="accent5">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marL="0" indent="0" algn="ctr"/>
          <a:r>
            <a:rPr lang="pt-BR" sz="1200" b="1" baseline="0">
              <a:solidFill>
                <a:schemeClr val="lt1"/>
              </a:solidFill>
              <a:latin typeface="+mn-lt"/>
              <a:ea typeface="+mn-ea"/>
              <a:cs typeface="+mn-cs"/>
            </a:rPr>
            <a:t>"PROPOSTA_GLOBAL"</a:t>
          </a:r>
        </a:p>
        <a:p>
          <a:pPr marL="0" marR="0" lvl="0" indent="0" algn="ctr" defTabSz="914400" eaLnBrk="1" fontAlgn="auto" latinLnBrk="0" hangingPunct="1">
            <a:lnSpc>
              <a:spcPct val="100000"/>
            </a:lnSpc>
            <a:spcBef>
              <a:spcPts val="0"/>
            </a:spcBef>
            <a:spcAft>
              <a:spcPts val="0"/>
            </a:spcAft>
            <a:buClrTx/>
            <a:buSzTx/>
            <a:buFontTx/>
            <a:buNone/>
            <a:tabLst/>
            <a:defRPr/>
          </a:pPr>
          <a:r>
            <a:rPr lang="pt-BR" sz="1200" baseline="0">
              <a:solidFill>
                <a:schemeClr val="lt1"/>
              </a:solidFill>
              <a:latin typeface="+mn-lt"/>
              <a:ea typeface="+mn-ea"/>
              <a:cs typeface="+mn-cs"/>
            </a:rPr>
            <a:t>CLIQUE AQUI </a:t>
          </a:r>
        </a:p>
      </xdr:txBody>
    </xdr:sp>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65A94-E393-40A9-B2DE-E91A2D136817}">
  <sheetPr>
    <pageSetUpPr fitToPage="1"/>
  </sheetPr>
  <dimension ref="A1:IK38"/>
  <sheetViews>
    <sheetView showGridLines="0" zoomScale="90" zoomScaleNormal="90" zoomScaleSheetLayoutView="100" workbookViewId="0">
      <selection sqref="A1:L2"/>
    </sheetView>
  </sheetViews>
  <sheetFormatPr defaultRowHeight="14.4"/>
  <cols>
    <col min="1" max="1" width="9" style="51" bestFit="1" customWidth="1"/>
    <col min="2" max="2" width="5.88671875" style="51" bestFit="1" customWidth="1"/>
    <col min="3" max="3" width="18.88671875" style="51" customWidth="1"/>
    <col min="4" max="4" width="43.33203125" style="51" bestFit="1" customWidth="1"/>
    <col min="5" max="5" width="19.88671875" style="51" bestFit="1" customWidth="1"/>
    <col min="6" max="6" width="14.5546875" style="51" customWidth="1"/>
    <col min="7" max="7" width="11.6640625" style="51" bestFit="1" customWidth="1"/>
    <col min="8" max="8" width="9.6640625" style="51" customWidth="1"/>
    <col min="9" max="9" width="12.88671875" style="51" customWidth="1"/>
    <col min="10" max="10" width="13.33203125" style="51" customWidth="1"/>
    <col min="11" max="11" width="14.6640625" style="51" bestFit="1" customWidth="1"/>
    <col min="12" max="12" width="20.44140625" style="51" bestFit="1" customWidth="1"/>
    <col min="13" max="13" width="17.5546875" style="51" customWidth="1"/>
    <col min="14" max="14" width="16.5546875" style="51" customWidth="1"/>
    <col min="15" max="245" width="9.109375" style="51"/>
  </cols>
  <sheetData>
    <row r="1" spans="1:245" ht="15" customHeight="1">
      <c r="A1" s="320" t="s">
        <v>10</v>
      </c>
      <c r="B1" s="320"/>
      <c r="C1" s="320"/>
      <c r="D1" s="320"/>
      <c r="E1" s="320"/>
      <c r="F1" s="320"/>
      <c r="G1" s="320"/>
      <c r="H1" s="320"/>
      <c r="I1" s="320"/>
      <c r="J1" s="320"/>
      <c r="K1" s="320"/>
      <c r="L1" s="320"/>
    </row>
    <row r="2" spans="1:245" ht="15" customHeight="1">
      <c r="A2" s="320"/>
      <c r="B2" s="320"/>
      <c r="C2" s="320"/>
      <c r="D2" s="320"/>
      <c r="E2" s="320"/>
      <c r="F2" s="320"/>
      <c r="G2" s="320"/>
      <c r="H2" s="320"/>
      <c r="I2" s="320"/>
      <c r="J2" s="320"/>
      <c r="K2" s="320"/>
      <c r="L2" s="320"/>
    </row>
    <row r="4" spans="1:245" ht="15.6">
      <c r="A4" s="321" t="s">
        <v>512</v>
      </c>
      <c r="B4" s="321"/>
      <c r="C4" s="321"/>
      <c r="D4" s="321"/>
      <c r="E4" s="321"/>
      <c r="F4" s="321"/>
      <c r="G4" s="321"/>
      <c r="H4" s="321"/>
      <c r="I4" s="321"/>
      <c r="J4" s="321"/>
      <c r="K4" s="321"/>
      <c r="L4" s="321"/>
    </row>
    <row r="5" spans="1:245" ht="15.6">
      <c r="A5" s="321" t="s">
        <v>0</v>
      </c>
      <c r="B5" s="321"/>
      <c r="C5" s="321"/>
      <c r="D5" s="321"/>
      <c r="E5" s="321"/>
      <c r="F5" s="321"/>
      <c r="G5" s="321"/>
      <c r="H5" s="321"/>
      <c r="I5" s="321"/>
      <c r="J5" s="321"/>
      <c r="K5" s="321"/>
      <c r="L5" s="321"/>
    </row>
    <row r="6" spans="1:245" ht="15.6">
      <c r="A6" s="75"/>
      <c r="B6" s="75"/>
      <c r="C6" s="75"/>
      <c r="D6" s="75"/>
      <c r="E6" s="75"/>
      <c r="F6" s="75"/>
      <c r="G6" s="75"/>
      <c r="H6" s="75"/>
      <c r="I6" s="75"/>
      <c r="J6" s="75"/>
      <c r="K6" s="75"/>
    </row>
    <row r="7" spans="1:245" ht="48" customHeight="1">
      <c r="A7" s="200" t="s">
        <v>1</v>
      </c>
      <c r="B7" s="322" t="s">
        <v>516</v>
      </c>
      <c r="C7" s="323"/>
      <c r="D7" s="323"/>
      <c r="E7" s="323"/>
      <c r="F7" s="323"/>
      <c r="G7" s="323"/>
      <c r="H7" s="323"/>
      <c r="I7" s="323"/>
      <c r="J7" s="323"/>
      <c r="K7" s="323"/>
      <c r="L7" s="324"/>
    </row>
    <row r="8" spans="1:245" ht="15.6">
      <c r="A8" s="287"/>
      <c r="B8" s="288"/>
      <c r="C8" s="288"/>
      <c r="D8" s="288"/>
      <c r="E8" s="288"/>
      <c r="F8" s="288"/>
      <c r="G8" s="288"/>
      <c r="H8" s="288"/>
      <c r="I8" s="288"/>
      <c r="J8" s="288"/>
      <c r="K8" s="288"/>
      <c r="L8" s="288"/>
    </row>
    <row r="9" spans="1:245" ht="23.25" customHeight="1">
      <c r="A9" s="329" t="s">
        <v>514</v>
      </c>
      <c r="B9" s="330"/>
      <c r="C9" s="330"/>
      <c r="D9" s="330"/>
      <c r="E9" s="330"/>
      <c r="F9" s="330"/>
      <c r="G9" s="330"/>
      <c r="H9" s="330"/>
      <c r="I9" s="330"/>
      <c r="J9" s="330"/>
      <c r="K9" s="330"/>
      <c r="L9" s="331"/>
      <c r="IF9"/>
      <c r="IG9"/>
      <c r="IH9"/>
      <c r="II9"/>
      <c r="IJ9"/>
      <c r="IK9"/>
    </row>
    <row r="10" spans="1:245" ht="47.25" customHeight="1">
      <c r="A10" s="268" t="s">
        <v>2</v>
      </c>
      <c r="B10" s="268" t="s">
        <v>3</v>
      </c>
      <c r="C10" s="332" t="s">
        <v>4</v>
      </c>
      <c r="D10" s="333"/>
      <c r="E10" s="333"/>
      <c r="F10" s="333"/>
      <c r="G10" s="334"/>
      <c r="H10" s="268" t="s">
        <v>531</v>
      </c>
      <c r="I10" s="268" t="s">
        <v>532</v>
      </c>
      <c r="J10" s="268" t="s">
        <v>534</v>
      </c>
      <c r="K10" s="268" t="s">
        <v>550</v>
      </c>
      <c r="L10" s="268" t="s">
        <v>551</v>
      </c>
      <c r="IF10"/>
      <c r="IG10"/>
      <c r="IH10"/>
      <c r="II10"/>
      <c r="IJ10"/>
      <c r="IK10"/>
    </row>
    <row r="11" spans="1:245" ht="35.25" customHeight="1">
      <c r="A11" s="319">
        <v>1</v>
      </c>
      <c r="B11" s="43">
        <v>1</v>
      </c>
      <c r="C11" s="335" t="s">
        <v>515</v>
      </c>
      <c r="D11" s="336"/>
      <c r="E11" s="336"/>
      <c r="F11" s="336"/>
      <c r="G11" s="337"/>
      <c r="H11" s="5">
        <v>25194</v>
      </c>
      <c r="I11" s="43" t="s">
        <v>533</v>
      </c>
      <c r="J11" s="61">
        <v>12</v>
      </c>
      <c r="K11" s="291">
        <f>SUM(K17:K31)</f>
        <v>294373.36000000004</v>
      </c>
      <c r="L11" s="291">
        <f>SUM(L17:L31)</f>
        <v>3532480.3200000003</v>
      </c>
      <c r="IF11"/>
      <c r="IG11"/>
      <c r="IH11"/>
      <c r="II11"/>
      <c r="IJ11"/>
      <c r="IK11"/>
    </row>
    <row r="12" spans="1:245" ht="15.75" customHeight="1">
      <c r="A12" s="319"/>
      <c r="B12" s="43">
        <v>2</v>
      </c>
      <c r="C12" s="335" t="s">
        <v>537</v>
      </c>
      <c r="D12" s="336"/>
      <c r="E12" s="336"/>
      <c r="F12" s="336"/>
      <c r="G12" s="337"/>
      <c r="H12" s="5">
        <v>25194</v>
      </c>
      <c r="I12" s="43" t="s">
        <v>533</v>
      </c>
      <c r="J12" s="61">
        <v>12</v>
      </c>
      <c r="K12" s="291">
        <f>K32</f>
        <v>13221.31</v>
      </c>
      <c r="L12" s="291">
        <f>L32</f>
        <v>158655.72</v>
      </c>
      <c r="IF12"/>
      <c r="IG12"/>
      <c r="IH12"/>
      <c r="II12"/>
      <c r="IJ12"/>
      <c r="IK12"/>
    </row>
    <row r="13" spans="1:245" ht="19.8">
      <c r="A13" s="316" t="s">
        <v>536</v>
      </c>
      <c r="B13" s="317"/>
      <c r="C13" s="317"/>
      <c r="D13" s="317"/>
      <c r="E13" s="317"/>
      <c r="F13" s="317"/>
      <c r="G13" s="317"/>
      <c r="H13" s="317"/>
      <c r="I13" s="317"/>
      <c r="J13" s="317"/>
      <c r="K13" s="318"/>
      <c r="L13" s="292">
        <f>SUM(L11:L12)</f>
        <v>3691136.0400000005</v>
      </c>
      <c r="IF13"/>
      <c r="IG13"/>
      <c r="IH13"/>
      <c r="II13"/>
      <c r="IJ13"/>
      <c r="IK13"/>
    </row>
    <row r="14" spans="1:245" ht="15.6">
      <c r="A14" s="287"/>
      <c r="B14" s="288"/>
      <c r="C14" s="288"/>
      <c r="D14" s="288"/>
      <c r="E14" s="288"/>
      <c r="F14" s="288"/>
      <c r="G14" s="288"/>
      <c r="H14" s="288"/>
      <c r="I14" s="288"/>
      <c r="J14" s="288"/>
      <c r="K14" s="288"/>
      <c r="L14" s="288"/>
    </row>
    <row r="15" spans="1:245" ht="23.25" customHeight="1">
      <c r="A15" s="329" t="s">
        <v>535</v>
      </c>
      <c r="B15" s="330"/>
      <c r="C15" s="330"/>
      <c r="D15" s="330"/>
      <c r="E15" s="330"/>
      <c r="F15" s="330"/>
      <c r="G15" s="330"/>
      <c r="H15" s="330"/>
      <c r="I15" s="330"/>
      <c r="J15" s="330"/>
      <c r="K15" s="330"/>
      <c r="L15" s="331"/>
      <c r="IK15"/>
    </row>
    <row r="16" spans="1:245" ht="62.4">
      <c r="A16" s="268" t="s">
        <v>2</v>
      </c>
      <c r="B16" s="268" t="s">
        <v>3</v>
      </c>
      <c r="C16" s="268" t="s">
        <v>4</v>
      </c>
      <c r="D16" s="268" t="s">
        <v>5</v>
      </c>
      <c r="E16" s="268" t="s">
        <v>6</v>
      </c>
      <c r="F16" s="268" t="s">
        <v>7</v>
      </c>
      <c r="G16" s="268" t="s">
        <v>8</v>
      </c>
      <c r="H16" s="268" t="s">
        <v>539</v>
      </c>
      <c r="I16" s="268" t="s">
        <v>9</v>
      </c>
      <c r="J16" s="268" t="s">
        <v>547</v>
      </c>
      <c r="K16" s="268" t="s">
        <v>548</v>
      </c>
      <c r="L16" s="268" t="s">
        <v>549</v>
      </c>
      <c r="IK16"/>
    </row>
    <row r="17" spans="1:245" ht="31.2">
      <c r="A17" s="327">
        <v>1</v>
      </c>
      <c r="B17" s="327">
        <v>1</v>
      </c>
      <c r="C17" s="319" t="s">
        <v>515</v>
      </c>
      <c r="D17" s="181" t="str">
        <f>CURITIBA!$E$9</f>
        <v>SR/PF/PR (Curitiba - Santa Cândida e Hauer)</v>
      </c>
      <c r="E17" s="43" t="str">
        <f>CURITIBA!$E$10</f>
        <v>Servente de limpeza</v>
      </c>
      <c r="F17" s="183" t="str">
        <f>CURITIBA!$E$17</f>
        <v>SIM</v>
      </c>
      <c r="G17" s="183" t="str">
        <f>CURITIBA!$E$11</f>
        <v>NÃO</v>
      </c>
      <c r="H17" s="61">
        <f>CURITIBA!E$15</f>
        <v>40</v>
      </c>
      <c r="I17" s="61">
        <f>CURITIBA!$E$18</f>
        <v>17</v>
      </c>
      <c r="J17" s="291">
        <f>CURITIBA!$E$146</f>
        <v>6575.85</v>
      </c>
      <c r="K17" s="291">
        <f t="shared" ref="K17:K32" si="0">J17*I17</f>
        <v>111789.45000000001</v>
      </c>
      <c r="L17" s="291">
        <f>K17*12</f>
        <v>1341473.4000000001</v>
      </c>
      <c r="M17" s="295"/>
      <c r="N17" s="296"/>
      <c r="IK17"/>
    </row>
    <row r="18" spans="1:245" ht="31.2">
      <c r="A18" s="328"/>
      <c r="B18" s="328"/>
      <c r="C18" s="319"/>
      <c r="D18" s="181" t="str">
        <f>CURITIBA!$F$9</f>
        <v>GISE (Curitiba - Centro)</v>
      </c>
      <c r="E18" s="43" t="str">
        <f>CURITIBA!$F$10</f>
        <v>Servente de limpeza</v>
      </c>
      <c r="F18" s="183" t="str">
        <f>CURITIBA!$F$17</f>
        <v>NÃO</v>
      </c>
      <c r="G18" s="183" t="str">
        <f>CURITIBA!$F$11</f>
        <v>SIM</v>
      </c>
      <c r="H18" s="61">
        <f>CURITIBA!F$15</f>
        <v>40</v>
      </c>
      <c r="I18" s="61">
        <f>CURITIBA!$F$18</f>
        <v>1</v>
      </c>
      <c r="J18" s="291">
        <f>CURITIBA!$F$146</f>
        <v>6431.67</v>
      </c>
      <c r="K18" s="291">
        <f t="shared" si="0"/>
        <v>6431.67</v>
      </c>
      <c r="L18" s="291">
        <f t="shared" ref="L18:L31" si="1">K18*12</f>
        <v>77180.040000000008</v>
      </c>
      <c r="IK18"/>
    </row>
    <row r="19" spans="1:245" ht="15.6">
      <c r="A19" s="328"/>
      <c r="B19" s="328"/>
      <c r="C19" s="319"/>
      <c r="D19" s="181" t="str">
        <f>CURITIBA!$G$9</f>
        <v>SR/PF/PR (Curitiba - Santa Cândida)</v>
      </c>
      <c r="E19" s="43" t="str">
        <f>CURITIBA!$G$10</f>
        <v>Copeira</v>
      </c>
      <c r="F19" s="183" t="str">
        <f>CURITIBA!$G$17</f>
        <v>SIM</v>
      </c>
      <c r="G19" s="183" t="str">
        <f>CURITIBA!$G$11</f>
        <v>NÃO</v>
      </c>
      <c r="H19" s="61">
        <f>CURITIBA!G$15</f>
        <v>40</v>
      </c>
      <c r="I19" s="61">
        <f>CURITIBA!$G$18</f>
        <v>2</v>
      </c>
      <c r="J19" s="291">
        <f>CURITIBA!$G$146</f>
        <v>6930.73</v>
      </c>
      <c r="K19" s="291">
        <f t="shared" si="0"/>
        <v>13861.46</v>
      </c>
      <c r="L19" s="291">
        <f t="shared" si="1"/>
        <v>166337.51999999999</v>
      </c>
      <c r="IK19"/>
    </row>
    <row r="20" spans="1:245" ht="15.6">
      <c r="A20" s="328"/>
      <c r="B20" s="328"/>
      <c r="C20" s="319"/>
      <c r="D20" s="181" t="str">
        <f>CURITIBA!$H$9</f>
        <v>SR/PF/PR (Curitiba - Santa Cândida)</v>
      </c>
      <c r="E20" s="43" t="str">
        <f>CURITIBA!$H$10</f>
        <v>Encarregado</v>
      </c>
      <c r="F20" s="183" t="str">
        <f>CURITIBA!$H$17</f>
        <v>SIM</v>
      </c>
      <c r="G20" s="183" t="str">
        <f>CURITIBA!$H$11</f>
        <v>NÃO</v>
      </c>
      <c r="H20" s="61">
        <f>CURITIBA!H$15</f>
        <v>40</v>
      </c>
      <c r="I20" s="61">
        <f>CURITIBA!$H$18</f>
        <v>1</v>
      </c>
      <c r="J20" s="291">
        <f>CURITIBA!$H$146</f>
        <v>8046.76</v>
      </c>
      <c r="K20" s="291">
        <f t="shared" si="0"/>
        <v>8046.76</v>
      </c>
      <c r="L20" s="291">
        <f t="shared" si="1"/>
        <v>96561.12</v>
      </c>
      <c r="IK20"/>
    </row>
    <row r="21" spans="1:245" ht="31.2">
      <c r="A21" s="328"/>
      <c r="B21" s="328"/>
      <c r="C21" s="319"/>
      <c r="D21" s="181" t="str">
        <f>GUARAPUAVA!$E$9</f>
        <v>DPF/GPB/PR (Guarapuava)</v>
      </c>
      <c r="E21" s="43" t="str">
        <f>GUARAPUAVA!$E$10</f>
        <v>Servente de limpeza</v>
      </c>
      <c r="F21" s="183" t="str">
        <f>GUARAPUAVA!$E$17</f>
        <v>SIM</v>
      </c>
      <c r="G21" s="183" t="str">
        <f>GUARAPUAVA!$E$11</f>
        <v>NÃO</v>
      </c>
      <c r="H21" s="61">
        <f>GUARAPUAVA!$E$15</f>
        <v>40</v>
      </c>
      <c r="I21" s="61">
        <f>GUARAPUAVA!$E$18</f>
        <v>2</v>
      </c>
      <c r="J21" s="291">
        <f>GUARAPUAVA!$E$147</f>
        <v>7001.58</v>
      </c>
      <c r="K21" s="291">
        <f t="shared" si="0"/>
        <v>14003.16</v>
      </c>
      <c r="L21" s="291">
        <f t="shared" si="1"/>
        <v>168037.91999999998</v>
      </c>
      <c r="M21" s="295"/>
      <c r="IK21"/>
    </row>
    <row r="22" spans="1:245" ht="31.2">
      <c r="A22" s="328"/>
      <c r="B22" s="328"/>
      <c r="C22" s="319"/>
      <c r="D22" s="181" t="str">
        <f>GUARAPUAVA!$F$9</f>
        <v>DPF/GPB/PR (Guarapuava)</v>
      </c>
      <c r="E22" s="43" t="str">
        <f>GUARAPUAVA!$F$10</f>
        <v>Servente de limpeza</v>
      </c>
      <c r="F22" s="183" t="str">
        <f>GUARAPUAVA!$F$17</f>
        <v>SIM</v>
      </c>
      <c r="G22" s="183" t="str">
        <f>GUARAPUAVA!$F$11</f>
        <v>SIM</v>
      </c>
      <c r="H22" s="61">
        <f>GUARAPUAVA!$F$15</f>
        <v>40</v>
      </c>
      <c r="I22" s="61">
        <f>GUARAPUAVA!$F$18</f>
        <v>1</v>
      </c>
      <c r="J22" s="291">
        <f>GUARAPUAVA!$F$147</f>
        <v>7276.22</v>
      </c>
      <c r="K22" s="291">
        <f t="shared" si="0"/>
        <v>7276.22</v>
      </c>
      <c r="L22" s="291">
        <f t="shared" si="1"/>
        <v>87314.64</v>
      </c>
      <c r="IK22"/>
    </row>
    <row r="23" spans="1:245" ht="31.2">
      <c r="A23" s="328"/>
      <c r="B23" s="328"/>
      <c r="C23" s="319"/>
      <c r="D23" s="181" t="str">
        <f>LONDRINA!$E$9</f>
        <v xml:space="preserve">DPF/LDA/PR (Londrina - Vila Nova) </v>
      </c>
      <c r="E23" s="43" t="str">
        <f>LONDRINA!$E$10</f>
        <v>Servente de limpeza</v>
      </c>
      <c r="F23" s="183" t="str">
        <f>LONDRINA!$E$17</f>
        <v>SIM</v>
      </c>
      <c r="G23" s="183" t="str">
        <f>LONDRINA!$E$11</f>
        <v>NÃO</v>
      </c>
      <c r="H23" s="61">
        <f>LONDRINA!$E$15</f>
        <v>40</v>
      </c>
      <c r="I23" s="61">
        <f>LONDRINA!$E$18</f>
        <v>5</v>
      </c>
      <c r="J23" s="291">
        <f>LONDRINA!$E$145</f>
        <v>7030.79</v>
      </c>
      <c r="K23" s="291">
        <f t="shared" si="0"/>
        <v>35153.949999999997</v>
      </c>
      <c r="L23" s="291">
        <f t="shared" si="1"/>
        <v>421847.39999999997</v>
      </c>
      <c r="M23" s="295"/>
      <c r="IK23"/>
    </row>
    <row r="24" spans="1:245" ht="31.2">
      <c r="A24" s="328"/>
      <c r="B24" s="328"/>
      <c r="C24" s="319"/>
      <c r="D24" s="181" t="str">
        <f>LONDRINA!$F$9</f>
        <v xml:space="preserve">DPF/LDA/PR (Londrina - Vila Nova) </v>
      </c>
      <c r="E24" s="43" t="str">
        <f>LONDRINA!$F$10</f>
        <v>Servente de limpeza</v>
      </c>
      <c r="F24" s="183" t="str">
        <f>LONDRINA!$F$17</f>
        <v>SIM</v>
      </c>
      <c r="G24" s="183" t="str">
        <f>LONDRINA!$F$11</f>
        <v>SIM</v>
      </c>
      <c r="H24" s="61">
        <f>LONDRINA!$F$15</f>
        <v>40</v>
      </c>
      <c r="I24" s="61">
        <f>LONDRINA!$F$18</f>
        <v>1</v>
      </c>
      <c r="J24" s="291">
        <f>LONDRINA!$F$145</f>
        <v>7305.43</v>
      </c>
      <c r="K24" s="291">
        <f t="shared" si="0"/>
        <v>7305.43</v>
      </c>
      <c r="L24" s="291">
        <f t="shared" si="1"/>
        <v>87665.16</v>
      </c>
      <c r="IK24"/>
    </row>
    <row r="25" spans="1:245" ht="31.2">
      <c r="A25" s="328"/>
      <c r="B25" s="328"/>
      <c r="C25" s="319"/>
      <c r="D25" s="181" t="str">
        <f>LONDRINA!$G$9</f>
        <v>GISE (Londrina - Centro)</v>
      </c>
      <c r="E25" s="43" t="str">
        <f>LONDRINA!$G$10</f>
        <v>Servente de limpeza</v>
      </c>
      <c r="F25" s="183" t="str">
        <f>LONDRINA!$G$17</f>
        <v>SIM</v>
      </c>
      <c r="G25" s="183" t="str">
        <f>LONDRINA!$G$11</f>
        <v>SIM</v>
      </c>
      <c r="H25" s="61">
        <f>LONDRINA!$G$15</f>
        <v>40</v>
      </c>
      <c r="I25" s="61">
        <f>LONDRINA!$G$18</f>
        <v>1</v>
      </c>
      <c r="J25" s="291">
        <f>LONDRINA!$G$145</f>
        <v>8394.01</v>
      </c>
      <c r="K25" s="291">
        <f t="shared" si="0"/>
        <v>8394.01</v>
      </c>
      <c r="L25" s="291">
        <f t="shared" si="1"/>
        <v>100728.12</v>
      </c>
      <c r="IK25"/>
    </row>
    <row r="26" spans="1:245" ht="31.2">
      <c r="A26" s="328"/>
      <c r="B26" s="328"/>
      <c r="C26" s="319"/>
      <c r="D26" s="181" t="str">
        <f>MARINGA!$E$9</f>
        <v>DPF/MGA/PR (Maringá)</v>
      </c>
      <c r="E26" s="43" t="str">
        <f>MARINGA!$E$10</f>
        <v>Servente de limpeza</v>
      </c>
      <c r="F26" s="183" t="str">
        <f>MARINGA!$E$17</f>
        <v>SIM</v>
      </c>
      <c r="G26" s="183" t="str">
        <f>MARINGA!$E$11</f>
        <v>NÃO</v>
      </c>
      <c r="H26" s="61">
        <f>MARINGA!$E$15</f>
        <v>40</v>
      </c>
      <c r="I26" s="61">
        <f>MARINGA!$E$18</f>
        <v>4</v>
      </c>
      <c r="J26" s="291">
        <f>MARINGA!$E$146</f>
        <v>6668.78</v>
      </c>
      <c r="K26" s="291">
        <f t="shared" si="0"/>
        <v>26675.119999999999</v>
      </c>
      <c r="L26" s="291">
        <f t="shared" si="1"/>
        <v>320101.44</v>
      </c>
      <c r="M26" s="295"/>
      <c r="IK26"/>
    </row>
    <row r="27" spans="1:245" ht="31.2">
      <c r="A27" s="328"/>
      <c r="B27" s="328"/>
      <c r="C27" s="319"/>
      <c r="D27" s="181" t="str">
        <f>MARINGA!$F$9</f>
        <v>DPF/MGA/PR (Maringá)</v>
      </c>
      <c r="E27" s="43" t="str">
        <f>MARINGA!$F$10</f>
        <v>Servente de limpeza</v>
      </c>
      <c r="F27" s="183" t="str">
        <f>MARINGA!$F$17</f>
        <v>SIM</v>
      </c>
      <c r="G27" s="183" t="str">
        <f>MARINGA!$F$11</f>
        <v>SIM</v>
      </c>
      <c r="H27" s="61">
        <f>MARINGA!$F$15</f>
        <v>40</v>
      </c>
      <c r="I27" s="61">
        <f>MARINGA!$F$18</f>
        <v>1</v>
      </c>
      <c r="J27" s="291">
        <f>MARINGA!$F$146</f>
        <v>6937.16</v>
      </c>
      <c r="K27" s="291">
        <f t="shared" si="0"/>
        <v>6937.16</v>
      </c>
      <c r="L27" s="291">
        <f t="shared" si="1"/>
        <v>83245.919999999998</v>
      </c>
      <c r="IK27"/>
    </row>
    <row r="28" spans="1:245" ht="31.2">
      <c r="A28" s="328"/>
      <c r="B28" s="328"/>
      <c r="C28" s="319"/>
      <c r="D28" s="181" t="str">
        <f>PARANAGUA!$E$9</f>
        <v>DPF/PNG/PR (Paranaguá - Delegacia e NEPOM)</v>
      </c>
      <c r="E28" s="43" t="str">
        <f>PARANAGUA!$E$10</f>
        <v>Servente de limpeza</v>
      </c>
      <c r="F28" s="183" t="str">
        <f>PARANAGUA!$E$17</f>
        <v>SIM</v>
      </c>
      <c r="G28" s="183" t="str">
        <f>PARANAGUA!$E$11</f>
        <v>NÃO</v>
      </c>
      <c r="H28" s="61">
        <f>PARANAGUA!$E$15</f>
        <v>40</v>
      </c>
      <c r="I28" s="61">
        <f>PARANAGUA!$E$18</f>
        <v>4</v>
      </c>
      <c r="J28" s="291">
        <f>PARANAGUA!$E$147</f>
        <v>6726.91</v>
      </c>
      <c r="K28" s="291">
        <f t="shared" si="0"/>
        <v>26907.64</v>
      </c>
      <c r="L28" s="291">
        <f t="shared" si="1"/>
        <v>322891.68</v>
      </c>
      <c r="M28" s="295"/>
      <c r="IK28"/>
    </row>
    <row r="29" spans="1:245" ht="31.2">
      <c r="A29" s="328"/>
      <c r="B29" s="328"/>
      <c r="C29" s="319"/>
      <c r="D29" s="181" t="str">
        <f>PARANAGUA!$F$9</f>
        <v>DPF/PNG/PR (Paranaguá - Delegacia e NEPOM)</v>
      </c>
      <c r="E29" s="43" t="str">
        <f>PARANAGUA!$F$10</f>
        <v>Servente de limpeza</v>
      </c>
      <c r="F29" s="183" t="str">
        <f>PARANAGUA!$F$17</f>
        <v>SIM</v>
      </c>
      <c r="G29" s="183" t="str">
        <f>PARANAGUA!$F$11</f>
        <v>SIM</v>
      </c>
      <c r="H29" s="61">
        <f>PARANAGUA!$F$15</f>
        <v>40</v>
      </c>
      <c r="I29" s="61">
        <f>PARANAGUA!$F$18</f>
        <v>1</v>
      </c>
      <c r="J29" s="291">
        <f>PARANAGUA!$F$147</f>
        <v>7001.55</v>
      </c>
      <c r="K29" s="291">
        <f t="shared" si="0"/>
        <v>7001.55</v>
      </c>
      <c r="L29" s="291">
        <f t="shared" si="1"/>
        <v>84018.6</v>
      </c>
      <c r="IK29"/>
    </row>
    <row r="30" spans="1:245" ht="31.2">
      <c r="A30" s="328"/>
      <c r="B30" s="328"/>
      <c r="C30" s="319"/>
      <c r="D30" s="181" t="str">
        <f>PONTA_GROSSA!$E$9</f>
        <v>DPF/PGZ/PR (Ponta Grossa - TRT)</v>
      </c>
      <c r="E30" s="43" t="str">
        <f>PONTA_GROSSA!$E$10</f>
        <v>Servente de limpeza</v>
      </c>
      <c r="F30" s="183" t="str">
        <f>PONTA_GROSSA!$E$17</f>
        <v>SIM</v>
      </c>
      <c r="G30" s="183" t="str">
        <f>PONTA_GROSSA!$E$11</f>
        <v>NÃO</v>
      </c>
      <c r="H30" s="61">
        <f>PONTA_GROSSA!$E$15</f>
        <v>40</v>
      </c>
      <c r="I30" s="61">
        <f>PONTA_GROSSA!$E$18</f>
        <v>1</v>
      </c>
      <c r="J30" s="291">
        <f>PONTA_GROSSA!$E$145</f>
        <v>7160.7</v>
      </c>
      <c r="K30" s="291">
        <f t="shared" si="0"/>
        <v>7160.7</v>
      </c>
      <c r="L30" s="291">
        <f t="shared" si="1"/>
        <v>85928.4</v>
      </c>
      <c r="M30" s="295"/>
      <c r="IK30"/>
    </row>
    <row r="31" spans="1:245" ht="31.2">
      <c r="A31" s="328"/>
      <c r="B31" s="328"/>
      <c r="C31" s="319"/>
      <c r="D31" s="181" t="str">
        <f>PONTA_GROSSA!$F$9</f>
        <v>DPF/PGZ/PR (Ponta Grossa - TRT)</v>
      </c>
      <c r="E31" s="43" t="str">
        <f>PONTA_GROSSA!$F$10</f>
        <v>Servente de limpeza</v>
      </c>
      <c r="F31" s="183" t="str">
        <f>PONTA_GROSSA!$E$17</f>
        <v>SIM</v>
      </c>
      <c r="G31" s="183" t="str">
        <f>PONTA_GROSSA!$F$11</f>
        <v>SIM</v>
      </c>
      <c r="H31" s="61">
        <f>PONTA_GROSSA!$F$15</f>
        <v>40</v>
      </c>
      <c r="I31" s="61">
        <f>PONTA_GROSSA!$F$18</f>
        <v>1</v>
      </c>
      <c r="J31" s="291">
        <f>PONTA_GROSSA!$F$145</f>
        <v>7429.08</v>
      </c>
      <c r="K31" s="291">
        <f t="shared" si="0"/>
        <v>7429.08</v>
      </c>
      <c r="L31" s="291">
        <f t="shared" si="1"/>
        <v>89148.959999999992</v>
      </c>
      <c r="IK31"/>
    </row>
    <row r="32" spans="1:245" ht="15.6">
      <c r="A32" s="328"/>
      <c r="B32" s="43">
        <v>2</v>
      </c>
      <c r="C32" t="s">
        <v>537</v>
      </c>
      <c r="D32"/>
      <c r="E32"/>
      <c r="F32"/>
      <c r="G32"/>
      <c r="H32"/>
      <c r="I32" s="289">
        <v>1</v>
      </c>
      <c r="J32" s="291">
        <f>MATERIAIS_HIGIENE_PESSOAL!X18</f>
        <v>13221.31</v>
      </c>
      <c r="K32" s="291">
        <f t="shared" si="0"/>
        <v>13221.31</v>
      </c>
      <c r="L32" s="293">
        <f>K32*J12</f>
        <v>158655.72</v>
      </c>
      <c r="M32" s="295"/>
      <c r="N32" s="296"/>
      <c r="IK32"/>
    </row>
    <row r="33" spans="1:12" s="52" customFormat="1" ht="19.8">
      <c r="A33" s="316" t="s">
        <v>536</v>
      </c>
      <c r="B33" s="317"/>
      <c r="C33" s="317"/>
      <c r="D33" s="317"/>
      <c r="E33" s="317"/>
      <c r="F33" s="317"/>
      <c r="G33" s="317"/>
      <c r="H33" s="317"/>
      <c r="I33" s="317"/>
      <c r="J33" s="317"/>
      <c r="K33" s="318"/>
      <c r="L33" s="294">
        <f>SUM(L17:L32)</f>
        <v>3691136.0400000005</v>
      </c>
    </row>
    <row r="34" spans="1:12">
      <c r="A34" s="326"/>
      <c r="B34" s="326"/>
      <c r="C34" s="326"/>
      <c r="D34" s="326"/>
      <c r="E34" s="326"/>
      <c r="F34" s="326"/>
      <c r="G34" s="326"/>
      <c r="H34" s="326"/>
      <c r="I34" s="326"/>
      <c r="J34" s="326"/>
      <c r="K34" s="326"/>
    </row>
    <row r="35" spans="1:12" s="54" customFormat="1">
      <c r="A35" s="53"/>
      <c r="B35" s="53"/>
      <c r="C35" s="53"/>
      <c r="D35" s="53"/>
      <c r="E35" s="53"/>
      <c r="F35" s="53"/>
      <c r="G35" s="53"/>
      <c r="H35" s="53"/>
      <c r="I35" s="53"/>
      <c r="J35" s="53"/>
      <c r="K35" s="53"/>
      <c r="L35" s="53"/>
    </row>
    <row r="36" spans="1:12" ht="15.6">
      <c r="B36" s="55"/>
      <c r="I36" s="51" t="s">
        <v>426</v>
      </c>
    </row>
    <row r="37" spans="1:12" ht="15.6">
      <c r="A37" s="325"/>
      <c r="B37" s="325"/>
      <c r="C37" s="325"/>
      <c r="D37" s="325"/>
      <c r="E37" s="325"/>
      <c r="F37" s="325"/>
      <c r="G37" s="325"/>
      <c r="H37" s="325"/>
      <c r="I37" s="325"/>
      <c r="J37" s="325"/>
      <c r="K37" s="325"/>
    </row>
    <row r="38" spans="1:12" ht="15.6">
      <c r="A38" s="325"/>
      <c r="B38" s="325"/>
      <c r="C38" s="325"/>
      <c r="D38" s="325"/>
      <c r="E38" s="325"/>
      <c r="F38" s="325"/>
      <c r="G38" s="325"/>
      <c r="H38" s="325"/>
      <c r="I38" s="325"/>
      <c r="J38" s="325"/>
      <c r="K38" s="325"/>
    </row>
  </sheetData>
  <mergeCells count="18">
    <mergeCell ref="A15:L15"/>
    <mergeCell ref="A9:L9"/>
    <mergeCell ref="C10:G10"/>
    <mergeCell ref="C11:G11"/>
    <mergeCell ref="C12:G12"/>
    <mergeCell ref="A38:K38"/>
    <mergeCell ref="A37:K37"/>
    <mergeCell ref="A34:K34"/>
    <mergeCell ref="C17:C31"/>
    <mergeCell ref="B17:B31"/>
    <mergeCell ref="A33:K33"/>
    <mergeCell ref="A17:A32"/>
    <mergeCell ref="A13:K13"/>
    <mergeCell ref="A11:A12"/>
    <mergeCell ref="A1:L2"/>
    <mergeCell ref="A4:L4"/>
    <mergeCell ref="A5:L5"/>
    <mergeCell ref="B7:L7"/>
  </mergeCells>
  <hyperlinks>
    <hyperlink ref="D17" location="Curitiba!A1" display="Curitiba/PR" xr:uid="{40EBC9F8-4731-4365-8E74-383FF6F96703}"/>
    <hyperlink ref="D18" location="Curitiba!A1" display="Curitiba!A1" xr:uid="{C6F28791-1023-499B-B738-FD8F0B9C22D1}"/>
    <hyperlink ref="D19" location="Curitiba!A1" display="Curitiba!A1" xr:uid="{B0FA5F69-BFE3-4510-93D7-B18C06673911}"/>
    <hyperlink ref="D20" location="Curitiba!A1" display="Curitiba!A1" xr:uid="{1E3B6701-FCEF-4928-9388-E72AF5834482}"/>
    <hyperlink ref="D21" location="Guarapuava!A1" display="Guarapuava!A1" xr:uid="{845CE097-092A-48B1-BD2A-33F3D52D8890}"/>
    <hyperlink ref="D22" location="Guarapuava!A1" display="Guarapuava!A1" xr:uid="{35F1A23B-D9AB-4059-8E78-CC2A1D02F41B}"/>
    <hyperlink ref="D23" location="Londrina!A1" display="Londrina!A1" xr:uid="{97ACB6F4-6825-4521-94F9-275A418DE9BD}"/>
    <hyperlink ref="D31" location="PONTA_GROSSA!A1" display="PONTA_GROSSA!A1" xr:uid="{5E912E83-0D72-42F9-BC3E-DF8CE5A2CB6B}"/>
    <hyperlink ref="D24" location="Londrina!A1" display="Londrina!A1" xr:uid="{574A3925-43B1-401F-BC60-8AA73F308CF6}"/>
    <hyperlink ref="D25" location="Londrina!A1" display="Londrina!A1" xr:uid="{0ACD94F3-9EC1-488D-9AE7-149DE78CE463}"/>
    <hyperlink ref="D26" location="Maringa!A1" display="Maringa!A1" xr:uid="{FC3C76AE-AD16-4674-BB77-A04126960C98}"/>
    <hyperlink ref="D27" location="Maringa!A1" display="Maringa!A1" xr:uid="{6C442B22-A8D5-49C2-8028-FD8DE76A007D}"/>
    <hyperlink ref="D28" location="Paranagua!A1" display="Paranagua!A1" xr:uid="{71487B6A-3D70-40D0-BEDE-E3C246C53F45}"/>
    <hyperlink ref="D29" location="Paranagua!A1" display="Paranagua!A1" xr:uid="{CBF40AE1-54C3-40E2-A40C-7CC19ECCFC71}"/>
    <hyperlink ref="D30" location="PONTA_GROSSA!A1" display="PONTA_GROSSA!A1" xr:uid="{49534C09-48B3-4D0F-A6BB-81DD825F8203}"/>
  </hyperlinks>
  <printOptions horizontalCentered="1"/>
  <pageMargins left="0.118110236220472" right="0.118110236220472" top="1.1811023622047201" bottom="0.78740157480314998" header="0.31496062992126" footer="0.31496062992126"/>
  <pageSetup paperSize="8" scale="77"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7655F-6220-48F3-A061-5C87A479A5AC}">
  <sheetPr>
    <pageSetUpPr fitToPage="1"/>
  </sheetPr>
  <dimension ref="A1:F47"/>
  <sheetViews>
    <sheetView view="pageBreakPreview" topLeftCell="A18" zoomScaleNormal="90" zoomScaleSheetLayoutView="100" workbookViewId="0">
      <selection activeCell="R32" sqref="R32"/>
    </sheetView>
  </sheetViews>
  <sheetFormatPr defaultColWidth="8.5546875" defaultRowHeight="14.4"/>
  <cols>
    <col min="1" max="1" width="7.5546875" style="23" customWidth="1"/>
    <col min="2" max="2" width="34.5546875" style="23" customWidth="1"/>
    <col min="3" max="3" width="22.88671875" style="23" customWidth="1"/>
    <col min="4" max="6" width="18.5546875" style="23" customWidth="1"/>
    <col min="7" max="16384" width="8.5546875" style="23"/>
  </cols>
  <sheetData>
    <row r="1" spans="1:6" ht="15" customHeight="1">
      <c r="A1" s="320" t="s">
        <v>10</v>
      </c>
      <c r="B1" s="320"/>
      <c r="C1" s="320"/>
      <c r="D1" s="320"/>
      <c r="E1" s="320"/>
      <c r="F1" s="320"/>
    </row>
    <row r="2" spans="1:6" ht="15" customHeight="1">
      <c r="A2" s="320"/>
      <c r="B2" s="320"/>
      <c r="C2" s="320"/>
      <c r="D2" s="320"/>
      <c r="E2" s="320"/>
      <c r="F2" s="320"/>
    </row>
    <row r="3" spans="1:6" ht="15.6">
      <c r="A3" s="2"/>
      <c r="B3" s="2"/>
      <c r="C3" s="2"/>
      <c r="D3" s="2"/>
      <c r="E3" s="2"/>
    </row>
    <row r="4" spans="1:6" ht="15.6">
      <c r="A4" s="321" t="str">
        <f>PROPOSTA_GLOBAL!A4</f>
        <v>SUPERINTENDÊNCIA REGIONAL DA POLÍCIA FEDERAL NO PARANÁ</v>
      </c>
      <c r="B4" s="321"/>
      <c r="C4" s="321"/>
      <c r="D4" s="321"/>
      <c r="E4" s="321"/>
      <c r="F4" s="321"/>
    </row>
    <row r="5" spans="1:6" ht="15.6">
      <c r="A5" s="321" t="str">
        <f>PROPOSTA_GLOBAL!A5</f>
        <v>PROCESSO ADMINISTRATIVO SEI Nº 08385.000837/2025-50</v>
      </c>
      <c r="B5" s="321"/>
      <c r="C5" s="321"/>
      <c r="D5" s="321"/>
      <c r="E5" s="321"/>
      <c r="F5" s="321"/>
    </row>
    <row r="7" spans="1:6" ht="15.6">
      <c r="A7" s="332" t="s">
        <v>224</v>
      </c>
      <c r="B7" s="333"/>
      <c r="C7" s="333"/>
      <c r="D7" s="333"/>
      <c r="E7" s="333"/>
      <c r="F7" s="334"/>
    </row>
    <row r="8" spans="1:6" ht="31.2">
      <c r="A8" s="268" t="s">
        <v>225</v>
      </c>
      <c r="B8" s="269" t="s">
        <v>226</v>
      </c>
      <c r="C8" s="268" t="s">
        <v>227</v>
      </c>
      <c r="D8" s="268" t="s">
        <v>228</v>
      </c>
      <c r="E8" s="268" t="s">
        <v>229</v>
      </c>
      <c r="F8" s="268" t="s">
        <v>230</v>
      </c>
    </row>
    <row r="9" spans="1:6" ht="16.8">
      <c r="A9" s="270">
        <v>1</v>
      </c>
      <c r="B9" s="273" t="s">
        <v>232</v>
      </c>
      <c r="C9" s="270">
        <v>6</v>
      </c>
      <c r="D9" s="272">
        <v>28.84</v>
      </c>
      <c r="E9" s="272">
        <f>C9*D9</f>
        <v>173.04</v>
      </c>
      <c r="F9" s="272">
        <f>E9/12</f>
        <v>14.42</v>
      </c>
    </row>
    <row r="10" spans="1:6" ht="16.8">
      <c r="A10" s="270">
        <v>2</v>
      </c>
      <c r="B10" s="278" t="s">
        <v>231</v>
      </c>
      <c r="C10" s="270">
        <v>6</v>
      </c>
      <c r="D10" s="272">
        <v>47.8</v>
      </c>
      <c r="E10" s="272">
        <f t="shared" ref="E10" si="0">C10*D10</f>
        <v>286.79999999999995</v>
      </c>
      <c r="F10" s="272">
        <f t="shared" ref="F10" si="1">E10/12</f>
        <v>23.899999999999995</v>
      </c>
    </row>
    <row r="11" spans="1:6" ht="16.8">
      <c r="A11" s="270">
        <v>3</v>
      </c>
      <c r="B11" s="271" t="s">
        <v>233</v>
      </c>
      <c r="C11" s="270">
        <v>4</v>
      </c>
      <c r="D11" s="272">
        <v>44.94</v>
      </c>
      <c r="E11" s="272">
        <f t="shared" ref="E11:E16" si="2">C11*D11</f>
        <v>179.76</v>
      </c>
      <c r="F11" s="272">
        <f t="shared" ref="F11:F16" si="3">E11/12</f>
        <v>14.979999999999999</v>
      </c>
    </row>
    <row r="12" spans="1:6" ht="16.8">
      <c r="A12" s="270">
        <v>4</v>
      </c>
      <c r="B12" s="271" t="s">
        <v>234</v>
      </c>
      <c r="C12" s="270">
        <v>1</v>
      </c>
      <c r="D12" s="272">
        <v>80.776666666666657</v>
      </c>
      <c r="E12" s="272">
        <f t="shared" si="2"/>
        <v>80.776666666666657</v>
      </c>
      <c r="F12" s="272">
        <f t="shared" si="3"/>
        <v>6.7313888888888878</v>
      </c>
    </row>
    <row r="13" spans="1:6" ht="16.8">
      <c r="A13" s="270">
        <v>5</v>
      </c>
      <c r="B13" s="271" t="s">
        <v>235</v>
      </c>
      <c r="C13" s="270">
        <v>1</v>
      </c>
      <c r="D13" s="272">
        <v>26.14</v>
      </c>
      <c r="E13" s="272">
        <f t="shared" si="2"/>
        <v>26.14</v>
      </c>
      <c r="F13" s="272">
        <f t="shared" si="3"/>
        <v>2.1783333333333332</v>
      </c>
    </row>
    <row r="14" spans="1:6" ht="16.8">
      <c r="A14" s="270">
        <v>6</v>
      </c>
      <c r="B14" s="271" t="s">
        <v>236</v>
      </c>
      <c r="C14" s="270">
        <v>6</v>
      </c>
      <c r="D14" s="272">
        <v>4.87</v>
      </c>
      <c r="E14" s="272">
        <f t="shared" si="2"/>
        <v>29.22</v>
      </c>
      <c r="F14" s="272">
        <f t="shared" si="3"/>
        <v>2.4350000000000001</v>
      </c>
    </row>
    <row r="15" spans="1:6" ht="16.8">
      <c r="A15" s="270">
        <v>7</v>
      </c>
      <c r="B15" s="271" t="s">
        <v>237</v>
      </c>
      <c r="C15" s="270">
        <v>1</v>
      </c>
      <c r="D15" s="272">
        <v>55.65</v>
      </c>
      <c r="E15" s="272">
        <f t="shared" si="2"/>
        <v>55.65</v>
      </c>
      <c r="F15" s="272">
        <f t="shared" si="3"/>
        <v>4.6375000000000002</v>
      </c>
    </row>
    <row r="16" spans="1:6" ht="16.8">
      <c r="A16" s="270">
        <v>8</v>
      </c>
      <c r="B16" s="274" t="s">
        <v>238</v>
      </c>
      <c r="C16" s="270">
        <v>2</v>
      </c>
      <c r="D16" s="272">
        <v>16.3</v>
      </c>
      <c r="E16" s="272">
        <f t="shared" si="2"/>
        <v>32.6</v>
      </c>
      <c r="F16" s="272">
        <f t="shared" si="3"/>
        <v>2.7166666666666668</v>
      </c>
    </row>
    <row r="17" spans="1:6" ht="15.6">
      <c r="A17" s="400" t="s">
        <v>143</v>
      </c>
      <c r="B17" s="401"/>
      <c r="C17" s="275"/>
      <c r="D17" s="275"/>
      <c r="E17" s="276">
        <f>SUM(E9:E16)</f>
        <v>863.98666666666657</v>
      </c>
      <c r="F17" s="276">
        <f>SUM(F9:F16)</f>
        <v>71.998888888888885</v>
      </c>
    </row>
    <row r="18" spans="1:6" ht="17.399999999999999">
      <c r="A18" s="402" t="s">
        <v>239</v>
      </c>
      <c r="B18" s="403"/>
      <c r="C18" s="403"/>
      <c r="D18" s="403"/>
      <c r="E18" s="404"/>
      <c r="F18" s="277">
        <f>F17</f>
        <v>71.998888888888885</v>
      </c>
    </row>
    <row r="19" spans="1:6">
      <c r="B19" s="24"/>
    </row>
    <row r="20" spans="1:6" ht="15.6">
      <c r="A20" s="332" t="s">
        <v>240</v>
      </c>
      <c r="B20" s="333"/>
      <c r="C20" s="333"/>
      <c r="D20" s="333"/>
      <c r="E20" s="333"/>
      <c r="F20" s="334"/>
    </row>
    <row r="21" spans="1:6" ht="31.2">
      <c r="A21" s="268" t="s">
        <v>225</v>
      </c>
      <c r="B21" s="269" t="s">
        <v>226</v>
      </c>
      <c r="C21" s="268" t="s">
        <v>227</v>
      </c>
      <c r="D21" s="268" t="s">
        <v>228</v>
      </c>
      <c r="E21" s="268" t="s">
        <v>229</v>
      </c>
      <c r="F21" s="268" t="s">
        <v>230</v>
      </c>
    </row>
    <row r="22" spans="1:6" ht="16.8">
      <c r="A22" s="270">
        <v>1</v>
      </c>
      <c r="B22" s="273" t="s">
        <v>232</v>
      </c>
      <c r="C22" s="270">
        <v>6</v>
      </c>
      <c r="D22" s="272">
        <v>28.84</v>
      </c>
      <c r="E22" s="272">
        <f>C22*D22</f>
        <v>173.04</v>
      </c>
      <c r="F22" s="272">
        <f>E22/12</f>
        <v>14.42</v>
      </c>
    </row>
    <row r="23" spans="1:6" ht="16.8">
      <c r="A23" s="270">
        <v>2</v>
      </c>
      <c r="B23" s="278" t="s">
        <v>231</v>
      </c>
      <c r="C23" s="270">
        <v>6</v>
      </c>
      <c r="D23" s="272">
        <v>47.8</v>
      </c>
      <c r="E23" s="272">
        <f>C23*D23</f>
        <v>286.79999999999995</v>
      </c>
      <c r="F23" s="272">
        <f>E23/12</f>
        <v>23.899999999999995</v>
      </c>
    </row>
    <row r="24" spans="1:6" ht="16.8">
      <c r="A24" s="270">
        <v>3</v>
      </c>
      <c r="B24" s="278" t="s">
        <v>233</v>
      </c>
      <c r="C24" s="270">
        <v>4</v>
      </c>
      <c r="D24" s="272">
        <v>44.94</v>
      </c>
      <c r="E24" s="272">
        <f t="shared" ref="E24:E30" si="4">C24*D24</f>
        <v>179.76</v>
      </c>
      <c r="F24" s="272">
        <f t="shared" ref="F24:F30" si="5">E24/12</f>
        <v>14.979999999999999</v>
      </c>
    </row>
    <row r="25" spans="1:6" ht="16.8">
      <c r="A25" s="270">
        <v>4</v>
      </c>
      <c r="B25" s="278" t="s">
        <v>234</v>
      </c>
      <c r="C25" s="270">
        <v>1</v>
      </c>
      <c r="D25" s="272">
        <v>80.776666666666657</v>
      </c>
      <c r="E25" s="272">
        <f t="shared" si="4"/>
        <v>80.776666666666657</v>
      </c>
      <c r="F25" s="272">
        <f t="shared" si="5"/>
        <v>6.7313888888888878</v>
      </c>
    </row>
    <row r="26" spans="1:6" ht="16.8">
      <c r="A26" s="270">
        <v>5</v>
      </c>
      <c r="B26" s="278" t="s">
        <v>235</v>
      </c>
      <c r="C26" s="270">
        <v>1</v>
      </c>
      <c r="D26" s="272">
        <v>26.14</v>
      </c>
      <c r="E26" s="272">
        <f t="shared" si="4"/>
        <v>26.14</v>
      </c>
      <c r="F26" s="272">
        <f t="shared" si="5"/>
        <v>2.1783333333333332</v>
      </c>
    </row>
    <row r="27" spans="1:6" ht="16.8">
      <c r="A27" s="270">
        <v>6</v>
      </c>
      <c r="B27" s="278" t="s">
        <v>236</v>
      </c>
      <c r="C27" s="270">
        <v>6</v>
      </c>
      <c r="D27" s="272">
        <v>4.87</v>
      </c>
      <c r="E27" s="272">
        <f t="shared" si="4"/>
        <v>29.22</v>
      </c>
      <c r="F27" s="272">
        <f t="shared" si="5"/>
        <v>2.4350000000000001</v>
      </c>
    </row>
    <row r="28" spans="1:6" ht="16.8">
      <c r="A28" s="270">
        <v>7</v>
      </c>
      <c r="B28" s="278" t="s">
        <v>241</v>
      </c>
      <c r="C28" s="270">
        <v>1</v>
      </c>
      <c r="D28" s="272">
        <v>55.65</v>
      </c>
      <c r="E28" s="272">
        <f t="shared" si="4"/>
        <v>55.65</v>
      </c>
      <c r="F28" s="272">
        <f t="shared" si="5"/>
        <v>4.6375000000000002</v>
      </c>
    </row>
    <row r="29" spans="1:6" ht="16.8">
      <c r="A29" s="270">
        <v>8</v>
      </c>
      <c r="B29" s="279" t="s">
        <v>242</v>
      </c>
      <c r="C29" s="270">
        <v>4</v>
      </c>
      <c r="D29" s="272">
        <v>13.92</v>
      </c>
      <c r="E29" s="272">
        <f t="shared" si="4"/>
        <v>55.68</v>
      </c>
      <c r="F29" s="272">
        <f t="shared" si="5"/>
        <v>4.6399999999999997</v>
      </c>
    </row>
    <row r="30" spans="1:6" ht="16.8">
      <c r="A30" s="270">
        <v>9</v>
      </c>
      <c r="B30" s="279" t="s">
        <v>243</v>
      </c>
      <c r="C30" s="270">
        <v>4</v>
      </c>
      <c r="D30" s="272">
        <v>12.09</v>
      </c>
      <c r="E30" s="272">
        <f t="shared" si="4"/>
        <v>48.36</v>
      </c>
      <c r="F30" s="272">
        <f t="shared" si="5"/>
        <v>4.03</v>
      </c>
    </row>
    <row r="31" spans="1:6" ht="15.6">
      <c r="A31" s="400" t="s">
        <v>143</v>
      </c>
      <c r="B31" s="401"/>
      <c r="C31" s="275"/>
      <c r="D31" s="275"/>
      <c r="E31" s="276">
        <f>SUM(E22:E30)</f>
        <v>935.42666666666651</v>
      </c>
      <c r="F31" s="276">
        <f>SUM(F22:F30)</f>
        <v>77.952222222222218</v>
      </c>
    </row>
    <row r="32" spans="1:6" ht="17.399999999999999">
      <c r="A32" s="402" t="s">
        <v>239</v>
      </c>
      <c r="B32" s="403"/>
      <c r="C32" s="403"/>
      <c r="D32" s="403"/>
      <c r="E32" s="404"/>
      <c r="F32" s="277">
        <f>F31</f>
        <v>77.952222222222218</v>
      </c>
    </row>
    <row r="34" spans="1:6" ht="15.6">
      <c r="A34" s="332" t="s">
        <v>564</v>
      </c>
      <c r="B34" s="333"/>
      <c r="C34" s="333"/>
      <c r="D34" s="333"/>
      <c r="E34" s="333"/>
      <c r="F34" s="334"/>
    </row>
    <row r="35" spans="1:6" ht="31.2">
      <c r="A35" s="268" t="s">
        <v>225</v>
      </c>
      <c r="B35" s="269" t="s">
        <v>226</v>
      </c>
      <c r="C35" s="268" t="s">
        <v>227</v>
      </c>
      <c r="D35" s="268" t="s">
        <v>228</v>
      </c>
      <c r="E35" s="268" t="s">
        <v>229</v>
      </c>
      <c r="F35" s="268" t="s">
        <v>230</v>
      </c>
    </row>
    <row r="36" spans="1:6" ht="16.8">
      <c r="A36" s="270">
        <v>1</v>
      </c>
      <c r="B36" s="273" t="s">
        <v>232</v>
      </c>
      <c r="C36" s="270">
        <v>6</v>
      </c>
      <c r="D36" s="272">
        <v>28.84</v>
      </c>
      <c r="E36" s="272">
        <f>C36*D36</f>
        <v>173.04</v>
      </c>
      <c r="F36" s="272">
        <f>E36/12</f>
        <v>14.42</v>
      </c>
    </row>
    <row r="37" spans="1:6" ht="16.8">
      <c r="A37" s="270">
        <v>2</v>
      </c>
      <c r="B37" s="278" t="s">
        <v>231</v>
      </c>
      <c r="C37" s="270">
        <v>6</v>
      </c>
      <c r="D37" s="272">
        <v>47.8</v>
      </c>
      <c r="E37" s="272">
        <f t="shared" ref="E37:E45" si="6">C37*D37</f>
        <v>286.79999999999995</v>
      </c>
      <c r="F37" s="272">
        <f t="shared" ref="F37:F44" si="7">E37/12</f>
        <v>23.899999999999995</v>
      </c>
    </row>
    <row r="38" spans="1:6" ht="16.8">
      <c r="A38" s="270">
        <v>3</v>
      </c>
      <c r="B38" s="271" t="s">
        <v>233</v>
      </c>
      <c r="C38" s="270">
        <v>4</v>
      </c>
      <c r="D38" s="272">
        <v>44.94</v>
      </c>
      <c r="E38" s="272">
        <f t="shared" si="6"/>
        <v>179.76</v>
      </c>
      <c r="F38" s="272">
        <f t="shared" si="7"/>
        <v>14.979999999999999</v>
      </c>
    </row>
    <row r="39" spans="1:6" ht="16.8">
      <c r="A39" s="270">
        <v>4</v>
      </c>
      <c r="B39" s="271" t="s">
        <v>234</v>
      </c>
      <c r="C39" s="270">
        <v>1</v>
      </c>
      <c r="D39" s="272">
        <v>80.776666666666657</v>
      </c>
      <c r="E39" s="272">
        <f t="shared" si="6"/>
        <v>80.776666666666657</v>
      </c>
      <c r="F39" s="272">
        <f t="shared" si="7"/>
        <v>6.7313888888888878</v>
      </c>
    </row>
    <row r="40" spans="1:6" ht="16.8">
      <c r="A40" s="270">
        <v>5</v>
      </c>
      <c r="B40" s="271" t="s">
        <v>235</v>
      </c>
      <c r="C40" s="270">
        <v>1</v>
      </c>
      <c r="D40" s="272">
        <v>26.14</v>
      </c>
      <c r="E40" s="272">
        <f t="shared" si="6"/>
        <v>26.14</v>
      </c>
      <c r="F40" s="272">
        <f t="shared" si="7"/>
        <v>2.1783333333333332</v>
      </c>
    </row>
    <row r="41" spans="1:6" ht="16.8">
      <c r="A41" s="270">
        <v>6</v>
      </c>
      <c r="B41" s="271" t="s">
        <v>236</v>
      </c>
      <c r="C41" s="270">
        <v>6</v>
      </c>
      <c r="D41" s="272">
        <v>4.87</v>
      </c>
      <c r="E41" s="272">
        <f t="shared" si="6"/>
        <v>29.22</v>
      </c>
      <c r="F41" s="272">
        <f t="shared" si="7"/>
        <v>2.4350000000000001</v>
      </c>
    </row>
    <row r="42" spans="1:6" ht="16.8">
      <c r="A42" s="270">
        <v>7</v>
      </c>
      <c r="B42" s="271" t="s">
        <v>237</v>
      </c>
      <c r="C42" s="270">
        <v>1</v>
      </c>
      <c r="D42" s="272">
        <v>55.65</v>
      </c>
      <c r="E42" s="272">
        <f t="shared" si="6"/>
        <v>55.65</v>
      </c>
      <c r="F42" s="272">
        <f t="shared" si="7"/>
        <v>4.6375000000000002</v>
      </c>
    </row>
    <row r="43" spans="1:6" ht="16.8">
      <c r="A43" s="270">
        <v>8</v>
      </c>
      <c r="B43" s="274" t="s">
        <v>238</v>
      </c>
      <c r="C43" s="270">
        <v>2</v>
      </c>
      <c r="D43" s="272">
        <v>16.3</v>
      </c>
      <c r="E43" s="272">
        <f t="shared" si="6"/>
        <v>32.6</v>
      </c>
      <c r="F43" s="272">
        <f t="shared" si="7"/>
        <v>2.7166666666666668</v>
      </c>
    </row>
    <row r="44" spans="1:6" ht="16.8">
      <c r="A44" s="270">
        <v>9</v>
      </c>
      <c r="B44" s="279" t="s">
        <v>242</v>
      </c>
      <c r="C44" s="270">
        <v>4</v>
      </c>
      <c r="D44" s="272">
        <v>13.92</v>
      </c>
      <c r="E44" s="272">
        <f>C44*D44</f>
        <v>55.68</v>
      </c>
      <c r="F44" s="272">
        <f t="shared" si="7"/>
        <v>4.6399999999999997</v>
      </c>
    </row>
    <row r="45" spans="1:6" ht="16.8">
      <c r="A45" s="270">
        <v>10</v>
      </c>
      <c r="B45" s="279" t="s">
        <v>243</v>
      </c>
      <c r="C45" s="270">
        <v>4</v>
      </c>
      <c r="D45" s="272">
        <v>12.09</v>
      </c>
      <c r="E45" s="272">
        <f t="shared" si="6"/>
        <v>48.36</v>
      </c>
      <c r="F45" s="272">
        <f>E45/12</f>
        <v>4.03</v>
      </c>
    </row>
    <row r="46" spans="1:6" ht="15.6">
      <c r="A46" s="400" t="s">
        <v>143</v>
      </c>
      <c r="B46" s="401"/>
      <c r="C46" s="275"/>
      <c r="D46" s="275"/>
      <c r="E46" s="276">
        <f>SUM(E36:E45)</f>
        <v>968.02666666666653</v>
      </c>
      <c r="F46" s="276">
        <f>SUM(F36:F45)</f>
        <v>80.668888888888887</v>
      </c>
    </row>
    <row r="47" spans="1:6" ht="17.399999999999999">
      <c r="A47" s="402" t="s">
        <v>239</v>
      </c>
      <c r="B47" s="403"/>
      <c r="C47" s="403"/>
      <c r="D47" s="403"/>
      <c r="E47" s="404"/>
      <c r="F47" s="277">
        <f>F46</f>
        <v>80.668888888888887</v>
      </c>
    </row>
  </sheetData>
  <mergeCells count="12">
    <mergeCell ref="A34:F34"/>
    <mergeCell ref="A46:B46"/>
    <mergeCell ref="A47:E47"/>
    <mergeCell ref="A32:E32"/>
    <mergeCell ref="A7:F7"/>
    <mergeCell ref="A17:B17"/>
    <mergeCell ref="A18:E18"/>
    <mergeCell ref="A1:F2"/>
    <mergeCell ref="A4:F4"/>
    <mergeCell ref="A5:F5"/>
    <mergeCell ref="A20:F20"/>
    <mergeCell ref="A31:B31"/>
  </mergeCells>
  <printOptions horizontalCentered="1"/>
  <pageMargins left="0.31496062992125984" right="0.31496062992125984" top="0.78740157480314965" bottom="0.78740157480314965" header="0.31496062992125984" footer="0.31496062992125984"/>
  <pageSetup paperSize="3" fitToHeight="0" orientation="portrait" r:id="rId1"/>
  <headerFooter>
    <oddFooter>&amp;C&amp;A
&amp;P de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FB326-8BFD-4CAA-B01A-B8C149518BEF}">
  <sheetPr>
    <pageSetUpPr fitToPage="1"/>
  </sheetPr>
  <dimension ref="A1:W24"/>
  <sheetViews>
    <sheetView showGridLines="0" view="pageBreakPreview" topLeftCell="A10" zoomScale="80" zoomScaleNormal="60" zoomScaleSheetLayoutView="80" workbookViewId="0">
      <selection activeCell="P21" sqref="P21:W22"/>
    </sheetView>
  </sheetViews>
  <sheetFormatPr defaultColWidth="9.44140625" defaultRowHeight="15" customHeight="1"/>
  <cols>
    <col min="1" max="1" width="6.5546875" style="168" customWidth="1"/>
    <col min="2" max="2" width="46.5546875" style="171" customWidth="1"/>
    <col min="3" max="3" width="14.33203125" style="172" customWidth="1"/>
    <col min="4" max="4" width="13.77734375" style="168" customWidth="1"/>
    <col min="5" max="5" width="10.6640625" style="168" customWidth="1"/>
    <col min="6" max="6" width="7.88671875" style="168" customWidth="1"/>
    <col min="7" max="7" width="13.5546875" style="168" customWidth="1"/>
    <col min="8" max="8" width="7.44140625" style="168" bestFit="1" customWidth="1"/>
    <col min="9" max="9" width="5.44140625" style="168" bestFit="1" customWidth="1"/>
    <col min="10" max="10" width="10.109375" style="168" bestFit="1" customWidth="1"/>
    <col min="11" max="11" width="15" style="168" customWidth="1"/>
    <col min="12" max="12" width="14.6640625" style="168" bestFit="1" customWidth="1"/>
    <col min="13" max="13" width="9.6640625" style="168" customWidth="1"/>
    <col min="14" max="14" width="15" style="139" customWidth="1"/>
    <col min="15" max="15" width="16" style="190" customWidth="1"/>
    <col min="16" max="16" width="15" style="139" bestFit="1" customWidth="1"/>
    <col min="17" max="17" width="13.88671875" style="139" bestFit="1" customWidth="1"/>
    <col min="18" max="18" width="14" style="139" customWidth="1"/>
    <col min="19" max="19" width="13.88671875" style="139" bestFit="1" customWidth="1"/>
    <col min="20" max="20" width="13.5546875" style="139" bestFit="1" customWidth="1"/>
    <col min="21" max="21" width="13.88671875" style="139" bestFit="1" customWidth="1"/>
    <col min="22" max="22" width="13.44140625" style="139" customWidth="1"/>
    <col min="23" max="23" width="15.44140625" style="139" customWidth="1"/>
    <col min="24" max="24" width="14.5546875" style="139" customWidth="1"/>
    <col min="25" max="16384" width="9.44140625" style="139"/>
  </cols>
  <sheetData>
    <row r="1" spans="1:23" ht="14.4">
      <c r="A1" s="320" t="s">
        <v>10</v>
      </c>
      <c r="B1" s="320"/>
      <c r="C1" s="320"/>
      <c r="D1" s="320"/>
      <c r="E1" s="320"/>
      <c r="F1" s="320"/>
      <c r="G1" s="320"/>
      <c r="H1" s="320"/>
      <c r="I1" s="320"/>
      <c r="J1" s="320"/>
      <c r="K1" s="320"/>
      <c r="L1" s="320"/>
      <c r="M1" s="320"/>
      <c r="N1" s="320"/>
      <c r="O1" s="320"/>
      <c r="P1" s="320"/>
      <c r="Q1" s="320"/>
      <c r="R1" s="320"/>
      <c r="S1" s="320"/>
      <c r="T1" s="320"/>
      <c r="U1" s="320"/>
      <c r="V1" s="320"/>
      <c r="W1" s="320"/>
    </row>
    <row r="2" spans="1:23" ht="14.4">
      <c r="A2" s="320"/>
      <c r="B2" s="320"/>
      <c r="C2" s="320"/>
      <c r="D2" s="320"/>
      <c r="E2" s="320"/>
      <c r="F2" s="320"/>
      <c r="G2" s="320"/>
      <c r="H2" s="320"/>
      <c r="I2" s="320"/>
      <c r="J2" s="320"/>
      <c r="K2" s="320"/>
      <c r="L2" s="320"/>
      <c r="M2" s="320"/>
      <c r="N2" s="320"/>
      <c r="O2" s="320"/>
      <c r="P2" s="320"/>
      <c r="Q2" s="320"/>
      <c r="R2" s="320"/>
      <c r="S2" s="320"/>
      <c r="T2" s="320"/>
      <c r="U2" s="320"/>
      <c r="V2" s="320"/>
      <c r="W2" s="320"/>
    </row>
    <row r="3" spans="1:23" ht="15.6">
      <c r="A3" s="2"/>
      <c r="B3" s="2"/>
      <c r="C3" s="2"/>
      <c r="D3" s="2"/>
      <c r="E3" s="2"/>
      <c r="F3" s="2"/>
    </row>
    <row r="4" spans="1:23" ht="15.6">
      <c r="A4" s="321" t="str">
        <f>PROPOSTA_GLOBAL!A4</f>
        <v>SUPERINTENDÊNCIA REGIONAL DA POLÍCIA FEDERAL NO PARANÁ</v>
      </c>
      <c r="B4" s="321"/>
      <c r="C4" s="321"/>
      <c r="D4" s="321"/>
      <c r="E4" s="321"/>
      <c r="F4" s="321"/>
      <c r="G4" s="321"/>
      <c r="H4" s="321"/>
      <c r="I4" s="321"/>
      <c r="J4" s="321"/>
      <c r="K4" s="321"/>
      <c r="L4" s="321"/>
      <c r="M4" s="321"/>
      <c r="N4" s="321"/>
      <c r="O4" s="321"/>
      <c r="P4" s="321"/>
      <c r="Q4" s="321"/>
      <c r="R4" s="321"/>
      <c r="S4" s="321"/>
      <c r="T4" s="321"/>
      <c r="U4" s="321"/>
      <c r="V4" s="321"/>
      <c r="W4" s="321"/>
    </row>
    <row r="5" spans="1:23" ht="15.6">
      <c r="A5" s="321" t="str">
        <f>PROPOSTA_GLOBAL!A5</f>
        <v>PROCESSO ADMINISTRATIVO SEI Nº 08385.000837/2025-50</v>
      </c>
      <c r="B5" s="321"/>
      <c r="C5" s="321"/>
      <c r="D5" s="321"/>
      <c r="E5" s="321"/>
      <c r="F5" s="321"/>
      <c r="G5" s="321"/>
      <c r="H5" s="321"/>
      <c r="I5" s="321"/>
      <c r="J5" s="321"/>
      <c r="K5" s="321"/>
      <c r="L5" s="321"/>
      <c r="M5" s="321"/>
      <c r="N5" s="321"/>
      <c r="O5" s="321"/>
      <c r="P5" s="321"/>
      <c r="Q5" s="321"/>
      <c r="R5" s="321"/>
      <c r="S5" s="321"/>
      <c r="T5" s="321"/>
      <c r="U5" s="321"/>
      <c r="V5" s="321"/>
      <c r="W5" s="321"/>
    </row>
    <row r="6" spans="1:23" ht="14.4">
      <c r="A6" s="167"/>
      <c r="B6" s="169"/>
      <c r="C6" s="24"/>
      <c r="D6" s="23"/>
    </row>
    <row r="7" spans="1:23" ht="21" customHeight="1">
      <c r="A7" s="428" t="s">
        <v>244</v>
      </c>
      <c r="B7" s="428"/>
      <c r="C7" s="428"/>
      <c r="D7" s="428"/>
      <c r="E7" s="424" t="s">
        <v>245</v>
      </c>
      <c r="F7" s="425"/>
      <c r="G7" s="425"/>
      <c r="H7" s="425"/>
      <c r="I7" s="425"/>
      <c r="J7" s="425"/>
      <c r="K7" s="425"/>
      <c r="L7" s="425"/>
      <c r="M7" s="426"/>
      <c r="N7" s="408" t="s">
        <v>286</v>
      </c>
      <c r="O7" s="411" t="s">
        <v>246</v>
      </c>
      <c r="P7" s="429" t="s">
        <v>247</v>
      </c>
      <c r="Q7" s="430"/>
      <c r="R7" s="430"/>
      <c r="S7" s="430"/>
      <c r="T7" s="430"/>
      <c r="U7" s="430"/>
      <c r="V7" s="430"/>
      <c r="W7" s="431"/>
    </row>
    <row r="8" spans="1:23" ht="14.4" customHeight="1">
      <c r="A8" s="414" t="s">
        <v>248</v>
      </c>
      <c r="B8" s="418" t="s">
        <v>249</v>
      </c>
      <c r="C8" s="416" t="s">
        <v>546</v>
      </c>
      <c r="D8" s="414" t="s">
        <v>250</v>
      </c>
      <c r="E8" s="406" t="s">
        <v>251</v>
      </c>
      <c r="F8" s="407"/>
      <c r="G8" s="264" t="s">
        <v>252</v>
      </c>
      <c r="H8" s="406" t="s">
        <v>253</v>
      </c>
      <c r="I8" s="407"/>
      <c r="J8" s="265" t="s">
        <v>254</v>
      </c>
      <c r="K8" s="263" t="s">
        <v>255</v>
      </c>
      <c r="L8" s="264" t="s">
        <v>256</v>
      </c>
      <c r="M8" s="427" t="s">
        <v>143</v>
      </c>
      <c r="N8" s="409"/>
      <c r="O8" s="412"/>
      <c r="P8" s="406" t="s">
        <v>251</v>
      </c>
      <c r="Q8" s="407"/>
      <c r="R8" s="264" t="s">
        <v>252</v>
      </c>
      <c r="S8" s="406" t="s">
        <v>253</v>
      </c>
      <c r="T8" s="407"/>
      <c r="U8" s="265" t="s">
        <v>254</v>
      </c>
      <c r="V8" s="263" t="s">
        <v>255</v>
      </c>
      <c r="W8" s="264" t="s">
        <v>256</v>
      </c>
    </row>
    <row r="9" spans="1:23" ht="28.8">
      <c r="A9" s="420"/>
      <c r="B9" s="419"/>
      <c r="C9" s="417"/>
      <c r="D9" s="415"/>
      <c r="E9" s="264" t="s">
        <v>257</v>
      </c>
      <c r="F9" s="264" t="s">
        <v>258</v>
      </c>
      <c r="G9" s="264" t="s">
        <v>259</v>
      </c>
      <c r="H9" s="264" t="s">
        <v>259</v>
      </c>
      <c r="I9" s="264" t="s">
        <v>258</v>
      </c>
      <c r="J9" s="264" t="s">
        <v>259</v>
      </c>
      <c r="K9" s="264" t="s">
        <v>260</v>
      </c>
      <c r="L9" s="264" t="s">
        <v>259</v>
      </c>
      <c r="M9" s="427"/>
      <c r="N9" s="410"/>
      <c r="O9" s="413"/>
      <c r="P9" s="264" t="s">
        <v>257</v>
      </c>
      <c r="Q9" s="264" t="s">
        <v>258</v>
      </c>
      <c r="R9" s="264" t="s">
        <v>259</v>
      </c>
      <c r="S9" s="264" t="s">
        <v>259</v>
      </c>
      <c r="T9" s="264" t="s">
        <v>258</v>
      </c>
      <c r="U9" s="264" t="s">
        <v>259</v>
      </c>
      <c r="V9" s="264" t="s">
        <v>260</v>
      </c>
      <c r="W9" s="264" t="s">
        <v>259</v>
      </c>
    </row>
    <row r="10" spans="1:23" ht="54" customHeight="1">
      <c r="A10" s="180">
        <v>1</v>
      </c>
      <c r="B10" s="170" t="s">
        <v>261</v>
      </c>
      <c r="C10" s="56" t="s">
        <v>262</v>
      </c>
      <c r="D10" s="57" t="s">
        <v>263</v>
      </c>
      <c r="E10" s="196">
        <v>9</v>
      </c>
      <c r="F10" s="57">
        <v>0</v>
      </c>
      <c r="G10" s="57">
        <v>1</v>
      </c>
      <c r="H10" s="57">
        <v>2</v>
      </c>
      <c r="I10" s="57">
        <v>0</v>
      </c>
      <c r="J10" s="57">
        <v>2</v>
      </c>
      <c r="K10" s="196">
        <v>1</v>
      </c>
      <c r="L10" s="57">
        <v>2</v>
      </c>
      <c r="M10" s="57">
        <f>SUM(E10:L10)</f>
        <v>17</v>
      </c>
      <c r="N10" s="175">
        <v>671.14</v>
      </c>
      <c r="O10" s="191">
        <v>60</v>
      </c>
      <c r="P10" s="195">
        <f>($N10/$O10)*E10*12</f>
        <v>1208.0519999999999</v>
      </c>
      <c r="Q10" s="178">
        <f>($N10/$O10)*F10*12</f>
        <v>0</v>
      </c>
      <c r="R10" s="178">
        <f>($N10/$O10)*G10*12</f>
        <v>134.22800000000001</v>
      </c>
      <c r="S10" s="178">
        <f>($N10/$O10)*H10*12</f>
        <v>268.45600000000002</v>
      </c>
      <c r="T10" s="178">
        <f>($N10/$O10)*I10*12</f>
        <v>0</v>
      </c>
      <c r="U10" s="178">
        <f>($N10/$O10)*J10*12</f>
        <v>268.45600000000002</v>
      </c>
      <c r="V10" s="195">
        <f>($N10/$O10)*K10*12</f>
        <v>134.22800000000001</v>
      </c>
      <c r="W10" s="178">
        <f>($N10/$O10)*L10*12</f>
        <v>268.45600000000002</v>
      </c>
    </row>
    <row r="11" spans="1:23" ht="59.4" customHeight="1">
      <c r="A11" s="180">
        <v>2</v>
      </c>
      <c r="B11" s="170" t="s">
        <v>264</v>
      </c>
      <c r="C11" s="56" t="s">
        <v>265</v>
      </c>
      <c r="D11" s="57" t="s">
        <v>263</v>
      </c>
      <c r="E11" s="196">
        <v>1</v>
      </c>
      <c r="F11" s="57">
        <v>0</v>
      </c>
      <c r="G11" s="57">
        <v>0</v>
      </c>
      <c r="H11" s="57">
        <v>1</v>
      </c>
      <c r="I11" s="57">
        <v>0</v>
      </c>
      <c r="J11" s="57">
        <v>0</v>
      </c>
      <c r="K11" s="196">
        <v>1</v>
      </c>
      <c r="L11" s="57">
        <v>0</v>
      </c>
      <c r="M11" s="57">
        <f t="shared" ref="M11:M20" si="0">SUM(E11:L11)</f>
        <v>3</v>
      </c>
      <c r="N11" s="175">
        <v>1261.53</v>
      </c>
      <c r="O11" s="191">
        <v>120</v>
      </c>
      <c r="P11" s="195">
        <f>($N11/$O11)*E11*12</f>
        <v>126.15300000000001</v>
      </c>
      <c r="Q11" s="178">
        <f>($N11/$O11)*F11*12</f>
        <v>0</v>
      </c>
      <c r="R11" s="178">
        <f>($N11/$O11)*G11*12</f>
        <v>0</v>
      </c>
      <c r="S11" s="178">
        <f>($N11/$O11)*H11*12</f>
        <v>126.15300000000001</v>
      </c>
      <c r="T11" s="178">
        <f>($N11/$O11)*I11*12</f>
        <v>0</v>
      </c>
      <c r="U11" s="178">
        <f>($N11/$O11)*J11*12</f>
        <v>0</v>
      </c>
      <c r="V11" s="195">
        <f>($N11/$O11)*K11*12</f>
        <v>126.15300000000001</v>
      </c>
      <c r="W11" s="178">
        <f>($N11/$O11)*L11*12</f>
        <v>0</v>
      </c>
    </row>
    <row r="12" spans="1:23" ht="51.6" customHeight="1">
      <c r="A12" s="180">
        <v>3</v>
      </c>
      <c r="B12" s="170" t="s">
        <v>266</v>
      </c>
      <c r="C12" s="56" t="s">
        <v>267</v>
      </c>
      <c r="D12" s="57" t="s">
        <v>263</v>
      </c>
      <c r="E12" s="196">
        <v>8</v>
      </c>
      <c r="F12" s="57">
        <v>0</v>
      </c>
      <c r="G12" s="57">
        <v>1</v>
      </c>
      <c r="H12" s="57">
        <v>2</v>
      </c>
      <c r="I12" s="57">
        <v>1</v>
      </c>
      <c r="J12" s="57">
        <v>0</v>
      </c>
      <c r="K12" s="299">
        <v>2</v>
      </c>
      <c r="L12" s="57">
        <v>2</v>
      </c>
      <c r="M12" s="57">
        <f t="shared" si="0"/>
        <v>16</v>
      </c>
      <c r="N12" s="175">
        <v>878.39</v>
      </c>
      <c r="O12" s="191">
        <v>60</v>
      </c>
      <c r="P12" s="195">
        <f>($N12/$O12)*E12*12</f>
        <v>1405.424</v>
      </c>
      <c r="Q12" s="178">
        <f>($N12/$O12)*F12*12</f>
        <v>0</v>
      </c>
      <c r="R12" s="178">
        <f>($N12/$O12)*G12*12</f>
        <v>175.678</v>
      </c>
      <c r="S12" s="178">
        <f>($N12/$O12)*H12*12</f>
        <v>351.35599999999999</v>
      </c>
      <c r="T12" s="178">
        <f>($N12/$O12)*I12*12</f>
        <v>175.678</v>
      </c>
      <c r="U12" s="178">
        <f>($N12/$O12)*J12*12</f>
        <v>0</v>
      </c>
      <c r="V12" s="195">
        <f>($N12/$O12)*K12*12</f>
        <v>351.35599999999999</v>
      </c>
      <c r="W12" s="178">
        <f>($N12/$O12)*L12*12</f>
        <v>351.35599999999999</v>
      </c>
    </row>
    <row r="13" spans="1:23" ht="62.4" customHeight="1">
      <c r="A13" s="180">
        <v>4</v>
      </c>
      <c r="B13" s="170" t="s">
        <v>268</v>
      </c>
      <c r="C13" s="56" t="s">
        <v>269</v>
      </c>
      <c r="D13" s="57" t="s">
        <v>263</v>
      </c>
      <c r="E13" s="196">
        <v>10</v>
      </c>
      <c r="F13" s="57">
        <v>0</v>
      </c>
      <c r="G13" s="57">
        <v>1</v>
      </c>
      <c r="H13" s="57">
        <v>2</v>
      </c>
      <c r="I13" s="57">
        <v>1</v>
      </c>
      <c r="J13" s="57">
        <v>0</v>
      </c>
      <c r="K13" s="299">
        <v>2</v>
      </c>
      <c r="L13" s="57">
        <v>1</v>
      </c>
      <c r="M13" s="57">
        <f t="shared" si="0"/>
        <v>17</v>
      </c>
      <c r="N13" s="175">
        <v>235.16</v>
      </c>
      <c r="O13" s="191">
        <v>60</v>
      </c>
      <c r="P13" s="195">
        <f>($N13/$O13)*E13*12</f>
        <v>470.32000000000005</v>
      </c>
      <c r="Q13" s="178">
        <f>($N13/$O13)*F13*12</f>
        <v>0</v>
      </c>
      <c r="R13" s="178">
        <f>($N13/$O13)*G13*12</f>
        <v>47.031999999999996</v>
      </c>
      <c r="S13" s="178">
        <f>($N13/$O13)*H13*12</f>
        <v>94.063999999999993</v>
      </c>
      <c r="T13" s="178">
        <f>($N13/$O13)*I13*12</f>
        <v>47.031999999999996</v>
      </c>
      <c r="U13" s="178">
        <f>($N13/$O13)*J13*12</f>
        <v>0</v>
      </c>
      <c r="V13" s="195">
        <f>($N13/$O13)*K13*12</f>
        <v>94.063999999999993</v>
      </c>
      <c r="W13" s="178">
        <f>($N13/$O13)*L13*12</f>
        <v>47.031999999999996</v>
      </c>
    </row>
    <row r="14" spans="1:23" ht="40.799999999999997" customHeight="1">
      <c r="A14" s="180">
        <v>5</v>
      </c>
      <c r="B14" s="174" t="s">
        <v>499</v>
      </c>
      <c r="C14" s="56" t="s">
        <v>498</v>
      </c>
      <c r="D14" s="57" t="s">
        <v>263</v>
      </c>
      <c r="E14" s="299">
        <v>1</v>
      </c>
      <c r="F14" s="173">
        <v>0</v>
      </c>
      <c r="G14" s="173">
        <v>0</v>
      </c>
      <c r="H14" s="173">
        <v>0</v>
      </c>
      <c r="I14" s="173">
        <v>0</v>
      </c>
      <c r="J14" s="173">
        <v>0</v>
      </c>
      <c r="K14" s="299">
        <v>0</v>
      </c>
      <c r="L14" s="173">
        <v>0</v>
      </c>
      <c r="M14" s="57">
        <f t="shared" si="0"/>
        <v>1</v>
      </c>
      <c r="N14" s="236">
        <v>1481.38</v>
      </c>
      <c r="O14" s="243">
        <v>60</v>
      </c>
      <c r="P14" s="195">
        <f>($N14/$O14)*E14*12</f>
        <v>296.27600000000001</v>
      </c>
      <c r="Q14" s="178">
        <f>($N14/$O14)*F14*12</f>
        <v>0</v>
      </c>
      <c r="R14" s="178">
        <f>($N14/$O14)*G14*12</f>
        <v>0</v>
      </c>
      <c r="S14" s="178">
        <f>($N14/$O14)*H14*12</f>
        <v>0</v>
      </c>
      <c r="T14" s="178">
        <f>($N14/$O14)*I14*12</f>
        <v>0</v>
      </c>
      <c r="U14" s="178">
        <f>($N14/$O14)*J14*12</f>
        <v>0</v>
      </c>
      <c r="V14" s="195">
        <f>($N14/$O14)*K14*12</f>
        <v>0</v>
      </c>
      <c r="W14" s="178">
        <f>($N14/$O14)*L14*12</f>
        <v>0</v>
      </c>
    </row>
    <row r="15" spans="1:23" ht="39.6" customHeight="1">
      <c r="A15" s="180">
        <v>6</v>
      </c>
      <c r="B15" s="170" t="s">
        <v>270</v>
      </c>
      <c r="C15" s="56" t="s">
        <v>271</v>
      </c>
      <c r="D15" s="57" t="s">
        <v>263</v>
      </c>
      <c r="E15" s="299">
        <v>2</v>
      </c>
      <c r="F15" s="173">
        <v>0</v>
      </c>
      <c r="G15" s="173">
        <v>1</v>
      </c>
      <c r="H15" s="173">
        <v>1</v>
      </c>
      <c r="I15" s="173">
        <v>0</v>
      </c>
      <c r="J15" s="173">
        <v>0</v>
      </c>
      <c r="K15" s="299">
        <v>1</v>
      </c>
      <c r="L15" s="173">
        <v>1</v>
      </c>
      <c r="M15" s="57">
        <f t="shared" si="0"/>
        <v>6</v>
      </c>
      <c r="N15" s="175">
        <v>1415.21</v>
      </c>
      <c r="O15" s="191">
        <v>60</v>
      </c>
      <c r="P15" s="195">
        <f>($N15/$O15)*E15*12</f>
        <v>566.08400000000006</v>
      </c>
      <c r="Q15" s="178">
        <f>($N15/$O15)*F15*12</f>
        <v>0</v>
      </c>
      <c r="R15" s="178">
        <f>($N15/$O15)*G15*12</f>
        <v>283.04200000000003</v>
      </c>
      <c r="S15" s="178">
        <f>($N15/$O15)*H15*12</f>
        <v>283.04200000000003</v>
      </c>
      <c r="T15" s="178">
        <f>($N15/$O15)*I15*12</f>
        <v>0</v>
      </c>
      <c r="U15" s="178">
        <f>($N15/$O15)*J15*12</f>
        <v>0</v>
      </c>
      <c r="V15" s="195">
        <f>($N15/$O15)*K15*12</f>
        <v>283.04200000000003</v>
      </c>
      <c r="W15" s="178">
        <f>($N15/$O15)*L15*12</f>
        <v>283.04200000000003</v>
      </c>
    </row>
    <row r="16" spans="1:23" ht="57.6">
      <c r="A16" s="180">
        <v>7</v>
      </c>
      <c r="B16" s="170" t="s">
        <v>272</v>
      </c>
      <c r="C16" s="56" t="s">
        <v>273</v>
      </c>
      <c r="D16" s="56" t="s">
        <v>263</v>
      </c>
      <c r="E16" s="196">
        <v>3</v>
      </c>
      <c r="F16" s="57">
        <v>1</v>
      </c>
      <c r="G16" s="57">
        <v>1</v>
      </c>
      <c r="H16" s="57">
        <v>2</v>
      </c>
      <c r="I16" s="57">
        <v>1</v>
      </c>
      <c r="J16" s="57">
        <v>2</v>
      </c>
      <c r="K16" s="196">
        <v>1</v>
      </c>
      <c r="L16" s="57">
        <v>2</v>
      </c>
      <c r="M16" s="57">
        <f t="shared" si="0"/>
        <v>13</v>
      </c>
      <c r="N16" s="175">
        <v>137.18</v>
      </c>
      <c r="O16" s="191">
        <v>60</v>
      </c>
      <c r="P16" s="195">
        <f>($N16/$O16)*E16*12</f>
        <v>82.307999999999993</v>
      </c>
      <c r="Q16" s="178">
        <f>($N16/$O16)*F16*12</f>
        <v>27.436</v>
      </c>
      <c r="R16" s="178">
        <f>($N16/$O16)*G16*12</f>
        <v>27.436</v>
      </c>
      <c r="S16" s="178">
        <f>($N16/$O16)*H16*12</f>
        <v>54.872</v>
      </c>
      <c r="T16" s="178">
        <f>($N16/$O16)*I16*12</f>
        <v>27.436</v>
      </c>
      <c r="U16" s="178">
        <f>($N16/$O16)*J16*12</f>
        <v>54.872</v>
      </c>
      <c r="V16" s="195">
        <f>($N16/$O16)*K16*12</f>
        <v>27.436</v>
      </c>
      <c r="W16" s="178">
        <f>($N16/$O16)*L16*12</f>
        <v>54.872</v>
      </c>
    </row>
    <row r="17" spans="1:23" ht="57.6">
      <c r="A17" s="180">
        <v>8</v>
      </c>
      <c r="B17" s="170" t="s">
        <v>274</v>
      </c>
      <c r="C17" s="56" t="s">
        <v>275</v>
      </c>
      <c r="D17" s="57" t="s">
        <v>263</v>
      </c>
      <c r="E17" s="196">
        <v>2</v>
      </c>
      <c r="F17" s="57">
        <v>0</v>
      </c>
      <c r="G17" s="57">
        <v>1</v>
      </c>
      <c r="H17" s="57">
        <v>1</v>
      </c>
      <c r="I17" s="57">
        <v>1</v>
      </c>
      <c r="J17" s="57">
        <v>1</v>
      </c>
      <c r="K17" s="299">
        <v>1</v>
      </c>
      <c r="L17" s="57">
        <v>1</v>
      </c>
      <c r="M17" s="57">
        <f t="shared" si="0"/>
        <v>8</v>
      </c>
      <c r="N17" s="175">
        <v>338.94</v>
      </c>
      <c r="O17" s="191">
        <v>60</v>
      </c>
      <c r="P17" s="195">
        <f>($N17/$O17)*E17*12</f>
        <v>135.57599999999999</v>
      </c>
      <c r="Q17" s="178">
        <f>($N17/$O17)*F17*12</f>
        <v>0</v>
      </c>
      <c r="R17" s="178">
        <f>($N17/$O17)*G17*12</f>
        <v>67.787999999999997</v>
      </c>
      <c r="S17" s="178">
        <f>($N17/$O17)*H17*12</f>
        <v>67.787999999999997</v>
      </c>
      <c r="T17" s="178">
        <f>($N17/$O17)*I17*12</f>
        <v>67.787999999999997</v>
      </c>
      <c r="U17" s="178">
        <f>($N17/$O17)*J17*12</f>
        <v>67.787999999999997</v>
      </c>
      <c r="V17" s="195">
        <f>($N17/$O17)*K17*12</f>
        <v>67.787999999999997</v>
      </c>
      <c r="W17" s="178">
        <f>($N17/$O17)*L17*12</f>
        <v>67.787999999999997</v>
      </c>
    </row>
    <row r="18" spans="1:23" ht="39" customHeight="1">
      <c r="A18" s="180">
        <v>9</v>
      </c>
      <c r="B18" s="170" t="s">
        <v>276</v>
      </c>
      <c r="C18" s="56" t="s">
        <v>277</v>
      </c>
      <c r="D18" s="57" t="s">
        <v>263</v>
      </c>
      <c r="E18" s="196">
        <v>2</v>
      </c>
      <c r="F18" s="57">
        <v>0</v>
      </c>
      <c r="G18" s="57">
        <v>0</v>
      </c>
      <c r="H18" s="57">
        <v>0</v>
      </c>
      <c r="I18" s="57">
        <v>0</v>
      </c>
      <c r="J18" s="57">
        <v>0</v>
      </c>
      <c r="K18" s="299">
        <v>1</v>
      </c>
      <c r="L18" s="57">
        <v>0</v>
      </c>
      <c r="M18" s="57">
        <f t="shared" si="0"/>
        <v>3</v>
      </c>
      <c r="N18" s="236">
        <v>7619.09</v>
      </c>
      <c r="O18" s="191">
        <v>120</v>
      </c>
      <c r="P18" s="195">
        <f>($N18/$O18)*E18*12</f>
        <v>1523.8180000000002</v>
      </c>
      <c r="Q18" s="178">
        <f>($N18/$O18)*F18*12</f>
        <v>0</v>
      </c>
      <c r="R18" s="178">
        <f>($N18/$O18)*G18*12</f>
        <v>0</v>
      </c>
      <c r="S18" s="178">
        <f>($N18/$O18)*H18*12</f>
        <v>0</v>
      </c>
      <c r="T18" s="178">
        <f>($N18/$O18)*I18*12</f>
        <v>0</v>
      </c>
      <c r="U18" s="178">
        <f>($N18/$O18)*J18*12</f>
        <v>0</v>
      </c>
      <c r="V18" s="195">
        <f>($N18/$O18)*K18*12</f>
        <v>761.90900000000011</v>
      </c>
      <c r="W18" s="178">
        <f>($N18/$O18)*L18*12</f>
        <v>0</v>
      </c>
    </row>
    <row r="19" spans="1:23" ht="76.5" customHeight="1">
      <c r="A19" s="180">
        <v>10</v>
      </c>
      <c r="B19" s="170" t="s">
        <v>278</v>
      </c>
      <c r="C19" s="56" t="s">
        <v>279</v>
      </c>
      <c r="D19" s="57" t="s">
        <v>263</v>
      </c>
      <c r="E19" s="196">
        <v>3</v>
      </c>
      <c r="F19" s="57">
        <v>0</v>
      </c>
      <c r="G19" s="57">
        <v>1</v>
      </c>
      <c r="H19" s="57">
        <v>2</v>
      </c>
      <c r="I19" s="57">
        <v>1</v>
      </c>
      <c r="J19" s="57">
        <v>2</v>
      </c>
      <c r="K19" s="196">
        <v>1</v>
      </c>
      <c r="L19" s="57">
        <v>0</v>
      </c>
      <c r="M19" s="57">
        <f t="shared" si="0"/>
        <v>10</v>
      </c>
      <c r="N19" s="175">
        <v>630.84</v>
      </c>
      <c r="O19" s="191">
        <v>120</v>
      </c>
      <c r="P19" s="195">
        <f>($N19/$O19)*E19*12</f>
        <v>189.25200000000001</v>
      </c>
      <c r="Q19" s="178">
        <f>($N19/$O19)*F19*12</f>
        <v>0</v>
      </c>
      <c r="R19" s="178">
        <f>($N19/$O19)*G19*12</f>
        <v>63.084000000000003</v>
      </c>
      <c r="S19" s="178">
        <f>($N19/$O19)*H19*12</f>
        <v>126.16800000000001</v>
      </c>
      <c r="T19" s="178">
        <f>($N19/$O19)*I19*12</f>
        <v>63.084000000000003</v>
      </c>
      <c r="U19" s="178">
        <f>($N19/$O19)*J19*12</f>
        <v>126.16800000000001</v>
      </c>
      <c r="V19" s="195">
        <f>($N19/$O19)*K19*12</f>
        <v>63.084000000000003</v>
      </c>
      <c r="W19" s="178">
        <f>($N19/$O19)*L19*12</f>
        <v>0</v>
      </c>
    </row>
    <row r="20" spans="1:23" ht="91.5" customHeight="1">
      <c r="A20" s="180">
        <v>11</v>
      </c>
      <c r="B20" s="170" t="s">
        <v>280</v>
      </c>
      <c r="C20" s="56" t="s">
        <v>281</v>
      </c>
      <c r="D20" s="57" t="s">
        <v>263</v>
      </c>
      <c r="E20" s="196">
        <v>1</v>
      </c>
      <c r="F20" s="57">
        <v>1</v>
      </c>
      <c r="G20" s="57">
        <v>1</v>
      </c>
      <c r="H20" s="57">
        <v>1</v>
      </c>
      <c r="I20" s="57">
        <v>1</v>
      </c>
      <c r="J20" s="57">
        <v>1</v>
      </c>
      <c r="K20" s="196">
        <v>1</v>
      </c>
      <c r="L20" s="57">
        <v>1</v>
      </c>
      <c r="M20" s="57">
        <f t="shared" si="0"/>
        <v>8</v>
      </c>
      <c r="N20" s="175">
        <v>1746</v>
      </c>
      <c r="O20" s="191">
        <v>60</v>
      </c>
      <c r="P20" s="195">
        <f>($N20/$O20)*E20*12</f>
        <v>349.20000000000005</v>
      </c>
      <c r="Q20" s="178">
        <f>($N20/$O20)*F20*12</f>
        <v>349.20000000000005</v>
      </c>
      <c r="R20" s="178">
        <f>($N20/$O20)*G20*12</f>
        <v>349.20000000000005</v>
      </c>
      <c r="S20" s="178">
        <f>($N20/$O20)*H20*12</f>
        <v>349.20000000000005</v>
      </c>
      <c r="T20" s="178">
        <f>($N20/$O20)*I20*12</f>
        <v>349.20000000000005</v>
      </c>
      <c r="U20" s="178">
        <f>($N20/$O20)*J20*12</f>
        <v>349.20000000000005</v>
      </c>
      <c r="V20" s="195">
        <f>($N20/$O20)*K20*12</f>
        <v>349.20000000000005</v>
      </c>
      <c r="W20" s="240">
        <f>($N20/$O20)*L20*12</f>
        <v>349.20000000000005</v>
      </c>
    </row>
    <row r="21" spans="1:23" ht="18">
      <c r="A21" s="405" t="s">
        <v>497</v>
      </c>
      <c r="B21" s="405"/>
      <c r="C21" s="405"/>
      <c r="D21" s="405"/>
      <c r="E21" s="405"/>
      <c r="F21" s="405"/>
      <c r="G21" s="405"/>
      <c r="H21" s="405"/>
      <c r="I21" s="405"/>
      <c r="J21" s="405"/>
      <c r="K21" s="405"/>
      <c r="L21" s="405"/>
      <c r="M21" s="405"/>
      <c r="N21" s="405"/>
      <c r="O21" s="405"/>
      <c r="P21" s="192">
        <f t="shared" ref="P21:W21" si="1">SUM(P10:P20)</f>
        <v>6352.4630000000006</v>
      </c>
      <c r="Q21" s="192">
        <f t="shared" si="1"/>
        <v>376.63600000000002</v>
      </c>
      <c r="R21" s="192">
        <f t="shared" si="1"/>
        <v>1147.4880000000001</v>
      </c>
      <c r="S21" s="192">
        <f t="shared" si="1"/>
        <v>1721.0989999999999</v>
      </c>
      <c r="T21" s="192">
        <f t="shared" si="1"/>
        <v>730.21800000000007</v>
      </c>
      <c r="U21" s="192">
        <f t="shared" si="1"/>
        <v>866.48400000000015</v>
      </c>
      <c r="V21" s="192">
        <f t="shared" si="1"/>
        <v>2258.2600000000002</v>
      </c>
      <c r="W21" s="194">
        <f t="shared" si="1"/>
        <v>1421.7460000000001</v>
      </c>
    </row>
    <row r="22" spans="1:23" ht="18">
      <c r="A22" s="421" t="s">
        <v>282</v>
      </c>
      <c r="B22" s="422"/>
      <c r="C22" s="422"/>
      <c r="D22" s="422"/>
      <c r="E22" s="422"/>
      <c r="F22" s="422"/>
      <c r="G22" s="422"/>
      <c r="H22" s="422"/>
      <c r="I22" s="422"/>
      <c r="J22" s="422"/>
      <c r="K22" s="422"/>
      <c r="L22" s="422"/>
      <c r="M22" s="422"/>
      <c r="N22" s="423"/>
      <c r="O22" s="281">
        <v>2.5000000000000001E-3</v>
      </c>
      <c r="P22" s="192">
        <f>P21*$O$22</f>
        <v>15.881157500000002</v>
      </c>
      <c r="Q22" s="192">
        <f t="shared" ref="Q22:V22" si="2">Q21*$O$22</f>
        <v>0.94159000000000004</v>
      </c>
      <c r="R22" s="192">
        <f t="shared" si="2"/>
        <v>2.8687200000000002</v>
      </c>
      <c r="S22" s="192">
        <f t="shared" si="2"/>
        <v>4.3027474999999997</v>
      </c>
      <c r="T22" s="192">
        <f t="shared" si="2"/>
        <v>1.8255450000000002</v>
      </c>
      <c r="U22" s="192">
        <f t="shared" si="2"/>
        <v>2.1662100000000004</v>
      </c>
      <c r="V22" s="192">
        <f t="shared" si="2"/>
        <v>5.6456500000000007</v>
      </c>
      <c r="W22" s="194">
        <f>W21*$O$22</f>
        <v>3.5543650000000002</v>
      </c>
    </row>
    <row r="23" spans="1:23" ht="18">
      <c r="A23" s="405" t="s">
        <v>283</v>
      </c>
      <c r="B23" s="405"/>
      <c r="C23" s="405"/>
      <c r="D23" s="405"/>
      <c r="E23" s="405"/>
      <c r="F23" s="405"/>
      <c r="G23" s="405"/>
      <c r="H23" s="405"/>
      <c r="I23" s="405"/>
      <c r="J23" s="405"/>
      <c r="K23" s="405"/>
      <c r="L23" s="405"/>
      <c r="M23" s="405"/>
      <c r="N23" s="405"/>
      <c r="O23" s="405"/>
      <c r="P23" s="193">
        <f>SUM(CURITIBA!E18,CURITIBA!G18,CURITIBA!H18)</f>
        <v>20</v>
      </c>
      <c r="Q23" s="193">
        <f>CURITIBA!F18</f>
        <v>1</v>
      </c>
      <c r="R23" s="193">
        <f>SUM(GUARAPUAVA!E18:F18)</f>
        <v>3</v>
      </c>
      <c r="S23" s="193">
        <f>SUM(LONDRINA!E18:F18)</f>
        <v>6</v>
      </c>
      <c r="T23" s="193">
        <f>LONDRINA!G18</f>
        <v>1</v>
      </c>
      <c r="U23" s="193">
        <f>SUM(MARINGA!E18:F18)</f>
        <v>5</v>
      </c>
      <c r="V23" s="193">
        <f>SUM(PARANAGUA!E18:F18)</f>
        <v>5</v>
      </c>
      <c r="W23" s="481">
        <f>SUM(PONTA_GROSSA!E18:F18)</f>
        <v>2</v>
      </c>
    </row>
    <row r="24" spans="1:23" ht="18">
      <c r="A24" s="405" t="s">
        <v>284</v>
      </c>
      <c r="B24" s="405"/>
      <c r="C24" s="405"/>
      <c r="D24" s="405"/>
      <c r="E24" s="405"/>
      <c r="F24" s="405"/>
      <c r="G24" s="405"/>
      <c r="H24" s="405"/>
      <c r="I24" s="405"/>
      <c r="J24" s="405"/>
      <c r="K24" s="405"/>
      <c r="L24" s="405"/>
      <c r="M24" s="405"/>
      <c r="N24" s="405"/>
      <c r="O24" s="405"/>
      <c r="P24" s="194">
        <f t="shared" ref="P24:W24" si="3">(P21+P22)/P23/12</f>
        <v>26.534767322916668</v>
      </c>
      <c r="Q24" s="194">
        <f t="shared" si="3"/>
        <v>31.464799166666669</v>
      </c>
      <c r="R24" s="194">
        <f t="shared" si="3"/>
        <v>31.954353333333334</v>
      </c>
      <c r="S24" s="194">
        <f t="shared" si="3"/>
        <v>23.963913159722221</v>
      </c>
      <c r="T24" s="194">
        <f t="shared" si="3"/>
        <v>61.003628750000011</v>
      </c>
      <c r="U24" s="194">
        <f t="shared" si="3"/>
        <v>14.477503500000003</v>
      </c>
      <c r="V24" s="194">
        <f t="shared" si="3"/>
        <v>37.731760833333333</v>
      </c>
      <c r="W24" s="482">
        <f t="shared" si="3"/>
        <v>59.387515208333333</v>
      </c>
    </row>
  </sheetData>
  <sortState xmlns:xlrd2="http://schemas.microsoft.com/office/spreadsheetml/2017/richdata2" ref="A10:W20">
    <sortCondition ref="C10:C20"/>
  </sortState>
  <mergeCells count="21">
    <mergeCell ref="A1:W2"/>
    <mergeCell ref="A4:W4"/>
    <mergeCell ref="A5:W5"/>
    <mergeCell ref="A7:D7"/>
    <mergeCell ref="P7:W7"/>
    <mergeCell ref="A23:O23"/>
    <mergeCell ref="A24:O24"/>
    <mergeCell ref="P8:Q8"/>
    <mergeCell ref="S8:T8"/>
    <mergeCell ref="N7:N9"/>
    <mergeCell ref="O7:O9"/>
    <mergeCell ref="A21:O21"/>
    <mergeCell ref="E8:F8"/>
    <mergeCell ref="H8:I8"/>
    <mergeCell ref="D8:D9"/>
    <mergeCell ref="C8:C9"/>
    <mergeCell ref="B8:B9"/>
    <mergeCell ref="A8:A9"/>
    <mergeCell ref="A22:N22"/>
    <mergeCell ref="E7:M7"/>
    <mergeCell ref="M8:M9"/>
  </mergeCells>
  <printOptions horizontalCentered="1"/>
  <pageMargins left="0.11811023622047245" right="0.11811023622047245" top="0.39370078740157483" bottom="0.39370078740157483" header="0.31496062992125984" footer="0.31496062992125984"/>
  <pageSetup paperSize="3" scale="66" fitToHeight="0" orientation="landscape" r:id="rId1"/>
  <headerFooter>
    <oddFooter>&amp;C&amp;A
&amp;P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CA2ED-9943-4DF9-B7E1-3A29DEBC7E99}">
  <sheetPr>
    <pageSetUpPr fitToPage="1"/>
  </sheetPr>
  <dimension ref="A1:V76"/>
  <sheetViews>
    <sheetView showGridLines="0" view="pageBreakPreview" zoomScaleNormal="70" zoomScaleSheetLayoutView="100" workbookViewId="0">
      <selection activeCell="H12" sqref="H12"/>
    </sheetView>
  </sheetViews>
  <sheetFormatPr defaultColWidth="9.44140625" defaultRowHeight="14.4"/>
  <cols>
    <col min="1" max="1" width="6.5546875" style="168" customWidth="1"/>
    <col min="2" max="2" width="44.44140625" style="171" customWidth="1"/>
    <col min="3" max="3" width="18.44140625" style="172" bestFit="1" customWidth="1"/>
    <col min="4" max="4" width="11.6640625" style="168" bestFit="1" customWidth="1"/>
    <col min="5" max="5" width="7.44140625" style="168" customWidth="1"/>
    <col min="6" max="6" width="5.44140625" style="168" customWidth="1"/>
    <col min="7" max="7" width="14.44140625" style="168" customWidth="1"/>
    <col min="8" max="8" width="7.44140625" style="168" customWidth="1"/>
    <col min="9" max="9" width="5.44140625" style="168" customWidth="1"/>
    <col min="10" max="10" width="10.109375" style="168" customWidth="1"/>
    <col min="11" max="11" width="12.5546875" style="168" bestFit="1" customWidth="1"/>
    <col min="12" max="12" width="10.77734375" style="168" customWidth="1"/>
    <col min="13" max="13" width="6.44140625" style="168" bestFit="1" customWidth="1"/>
    <col min="14" max="14" width="14" style="139" customWidth="1"/>
    <col min="15" max="15" width="12.6640625" style="139" customWidth="1"/>
    <col min="16" max="16" width="10.33203125" style="139" customWidth="1"/>
    <col min="17" max="17" width="14.109375" style="139" customWidth="1"/>
    <col min="18" max="18" width="11.88671875" style="139" customWidth="1"/>
    <col min="19" max="20" width="11.88671875" style="139" bestFit="1" customWidth="1"/>
    <col min="21" max="21" width="10.77734375" style="139" customWidth="1"/>
    <col min="22" max="22" width="11.88671875" style="139" bestFit="1" customWidth="1"/>
    <col min="23" max="16384" width="9.44140625" style="139"/>
  </cols>
  <sheetData>
    <row r="1" spans="1:22">
      <c r="A1" s="320" t="s">
        <v>10</v>
      </c>
      <c r="B1" s="320"/>
      <c r="C1" s="320"/>
      <c r="D1" s="320"/>
      <c r="E1" s="320"/>
      <c r="F1" s="320"/>
      <c r="G1" s="320"/>
      <c r="H1" s="320"/>
      <c r="I1" s="320"/>
      <c r="J1" s="320"/>
      <c r="K1" s="320"/>
      <c r="L1" s="320"/>
      <c r="M1" s="320"/>
      <c r="N1" s="320"/>
      <c r="O1" s="320"/>
      <c r="P1" s="320"/>
      <c r="Q1" s="320"/>
      <c r="R1" s="320"/>
      <c r="S1" s="320"/>
      <c r="T1" s="320"/>
      <c r="U1" s="320"/>
      <c r="V1" s="320"/>
    </row>
    <row r="2" spans="1:22" ht="9" customHeight="1">
      <c r="A2" s="320"/>
      <c r="B2" s="320"/>
      <c r="C2" s="320"/>
      <c r="D2" s="320"/>
      <c r="E2" s="320"/>
      <c r="F2" s="320"/>
      <c r="G2" s="320"/>
      <c r="H2" s="320"/>
      <c r="I2" s="320"/>
      <c r="J2" s="320"/>
      <c r="K2" s="320"/>
      <c r="L2" s="320"/>
      <c r="M2" s="320"/>
      <c r="N2" s="320"/>
      <c r="O2" s="320"/>
      <c r="P2" s="320"/>
      <c r="Q2" s="320"/>
      <c r="R2" s="320"/>
      <c r="S2" s="320"/>
      <c r="T2" s="320"/>
      <c r="U2" s="320"/>
      <c r="V2" s="320"/>
    </row>
    <row r="3" spans="1:22" ht="12" customHeight="1">
      <c r="A3" s="2"/>
      <c r="B3" s="2"/>
      <c r="C3" s="2"/>
      <c r="D3" s="2"/>
      <c r="E3" s="2"/>
      <c r="F3" s="2"/>
    </row>
    <row r="4" spans="1:22" ht="12.75" customHeight="1">
      <c r="A4" s="321" t="str">
        <f>PROPOSTA_GLOBAL!A4</f>
        <v>SUPERINTENDÊNCIA REGIONAL DA POLÍCIA FEDERAL NO PARANÁ</v>
      </c>
      <c r="B4" s="321"/>
      <c r="C4" s="321"/>
      <c r="D4" s="321"/>
      <c r="E4" s="321"/>
      <c r="F4" s="321"/>
      <c r="G4" s="321"/>
      <c r="H4" s="321"/>
      <c r="I4" s="321"/>
      <c r="J4" s="321"/>
      <c r="K4" s="321"/>
      <c r="L4" s="321"/>
      <c r="M4" s="321"/>
      <c r="N4" s="321"/>
      <c r="O4" s="321"/>
      <c r="P4" s="321"/>
      <c r="Q4" s="321"/>
      <c r="R4" s="321"/>
      <c r="S4" s="321"/>
      <c r="T4" s="321"/>
      <c r="U4" s="321"/>
      <c r="V4" s="321"/>
    </row>
    <row r="5" spans="1:22" ht="15.6">
      <c r="A5" s="321" t="str">
        <f>PROPOSTA_GLOBAL!A5</f>
        <v>PROCESSO ADMINISTRATIVO SEI Nº 08385.000837/2025-50</v>
      </c>
      <c r="B5" s="321"/>
      <c r="C5" s="321"/>
      <c r="D5" s="321"/>
      <c r="E5" s="321"/>
      <c r="F5" s="321"/>
      <c r="G5" s="321"/>
      <c r="H5" s="321"/>
      <c r="I5" s="321"/>
      <c r="J5" s="321"/>
      <c r="K5" s="321"/>
      <c r="L5" s="321"/>
      <c r="M5" s="321"/>
      <c r="N5" s="321"/>
      <c r="O5" s="321"/>
      <c r="P5" s="321"/>
      <c r="Q5" s="321"/>
      <c r="R5" s="321"/>
      <c r="S5" s="321"/>
      <c r="T5" s="321"/>
      <c r="U5" s="321"/>
      <c r="V5" s="321"/>
    </row>
    <row r="6" spans="1:22" ht="12" customHeight="1">
      <c r="A6" s="167"/>
      <c r="B6" s="169"/>
      <c r="C6" s="24"/>
      <c r="D6" s="23"/>
    </row>
    <row r="7" spans="1:22" ht="32.25" customHeight="1">
      <c r="A7" s="428" t="s">
        <v>650</v>
      </c>
      <c r="B7" s="428"/>
      <c r="C7" s="428"/>
      <c r="D7" s="428"/>
      <c r="E7" s="444" t="s">
        <v>285</v>
      </c>
      <c r="F7" s="445"/>
      <c r="G7" s="445"/>
      <c r="H7" s="445"/>
      <c r="I7" s="445"/>
      <c r="J7" s="445"/>
      <c r="K7" s="445"/>
      <c r="L7" s="445"/>
      <c r="M7" s="446"/>
      <c r="N7" s="438" t="s">
        <v>286</v>
      </c>
      <c r="O7" s="435"/>
      <c r="P7" s="436"/>
      <c r="Q7" s="436"/>
      <c r="R7" s="436"/>
      <c r="S7" s="436"/>
      <c r="T7" s="436"/>
      <c r="U7" s="436"/>
      <c r="V7" s="437"/>
    </row>
    <row r="8" spans="1:22" ht="32.4" customHeight="1">
      <c r="A8" s="418" t="s">
        <v>248</v>
      </c>
      <c r="B8" s="418" t="s">
        <v>249</v>
      </c>
      <c r="C8" s="418" t="s">
        <v>546</v>
      </c>
      <c r="D8" s="418" t="s">
        <v>250</v>
      </c>
      <c r="E8" s="441" t="s">
        <v>251</v>
      </c>
      <c r="F8" s="442"/>
      <c r="G8" s="284" t="s">
        <v>252</v>
      </c>
      <c r="H8" s="441" t="s">
        <v>253</v>
      </c>
      <c r="I8" s="442"/>
      <c r="J8" s="283" t="s">
        <v>254</v>
      </c>
      <c r="K8" s="282" t="s">
        <v>255</v>
      </c>
      <c r="L8" s="284" t="s">
        <v>256</v>
      </c>
      <c r="M8" s="443" t="s">
        <v>143</v>
      </c>
      <c r="N8" s="439"/>
      <c r="O8" s="441" t="s">
        <v>251</v>
      </c>
      <c r="P8" s="442"/>
      <c r="Q8" s="284" t="s">
        <v>252</v>
      </c>
      <c r="R8" s="441" t="s">
        <v>253</v>
      </c>
      <c r="S8" s="442"/>
      <c r="T8" s="283" t="s">
        <v>254</v>
      </c>
      <c r="U8" s="282" t="s">
        <v>255</v>
      </c>
      <c r="V8" s="284" t="s">
        <v>256</v>
      </c>
    </row>
    <row r="9" spans="1:22" ht="38.25" customHeight="1">
      <c r="A9" s="419"/>
      <c r="B9" s="419"/>
      <c r="C9" s="419"/>
      <c r="D9" s="419"/>
      <c r="E9" s="284" t="s">
        <v>257</v>
      </c>
      <c r="F9" s="284" t="s">
        <v>258</v>
      </c>
      <c r="G9" s="284" t="s">
        <v>259</v>
      </c>
      <c r="H9" s="284" t="s">
        <v>259</v>
      </c>
      <c r="I9" s="284" t="s">
        <v>258</v>
      </c>
      <c r="J9" s="284" t="s">
        <v>259</v>
      </c>
      <c r="K9" s="284" t="s">
        <v>260</v>
      </c>
      <c r="L9" s="284" t="s">
        <v>259</v>
      </c>
      <c r="M9" s="443"/>
      <c r="N9" s="440"/>
      <c r="O9" s="284" t="s">
        <v>257</v>
      </c>
      <c r="P9" s="284" t="s">
        <v>258</v>
      </c>
      <c r="Q9" s="284" t="s">
        <v>259</v>
      </c>
      <c r="R9" s="284" t="s">
        <v>259</v>
      </c>
      <c r="S9" s="284" t="s">
        <v>258</v>
      </c>
      <c r="T9" s="284" t="s">
        <v>259</v>
      </c>
      <c r="U9" s="284" t="s">
        <v>260</v>
      </c>
      <c r="V9" s="284" t="s">
        <v>259</v>
      </c>
    </row>
    <row r="10" spans="1:22" ht="58.2" customHeight="1">
      <c r="A10" s="180">
        <v>1</v>
      </c>
      <c r="B10" s="300" t="s">
        <v>565</v>
      </c>
      <c r="C10" s="56" t="s">
        <v>316</v>
      </c>
      <c r="D10" s="57" t="s">
        <v>263</v>
      </c>
      <c r="E10" s="173">
        <v>8</v>
      </c>
      <c r="F10" s="173">
        <v>1</v>
      </c>
      <c r="G10" s="173">
        <v>2</v>
      </c>
      <c r="H10" s="173">
        <v>4</v>
      </c>
      <c r="I10" s="173">
        <v>1</v>
      </c>
      <c r="J10" s="173">
        <v>3</v>
      </c>
      <c r="K10" s="173">
        <v>5</v>
      </c>
      <c r="L10" s="173">
        <v>2</v>
      </c>
      <c r="M10" s="173">
        <f>SUM(E10:L10)</f>
        <v>26</v>
      </c>
      <c r="N10" s="175">
        <v>15.29</v>
      </c>
      <c r="O10" s="178">
        <f t="shared" ref="O10:O40" si="0">$N10*E10</f>
        <v>122.32</v>
      </c>
      <c r="P10" s="178">
        <f t="shared" ref="P10:P40" si="1">$N10*F10</f>
        <v>15.29</v>
      </c>
      <c r="Q10" s="178">
        <f t="shared" ref="Q10:Q40" si="2">$N10*G10</f>
        <v>30.58</v>
      </c>
      <c r="R10" s="178">
        <f t="shared" ref="R10:R40" si="3">$N10*H10</f>
        <v>61.16</v>
      </c>
      <c r="S10" s="178">
        <f t="shared" ref="S10:S40" si="4">$N10*I10</f>
        <v>15.29</v>
      </c>
      <c r="T10" s="178">
        <f t="shared" ref="T10:T40" si="5">$N10*J10</f>
        <v>45.87</v>
      </c>
      <c r="U10" s="178">
        <f t="shared" ref="U10:U40" si="6">$N10*K10</f>
        <v>76.449999999999989</v>
      </c>
      <c r="V10" s="178">
        <f t="shared" ref="V10:V40" si="7">$N10*L10</f>
        <v>30.58</v>
      </c>
    </row>
    <row r="11" spans="1:22" ht="100.8" customHeight="1">
      <c r="A11" s="180">
        <v>2</v>
      </c>
      <c r="B11" s="301" t="s">
        <v>287</v>
      </c>
      <c r="C11" s="56" t="s">
        <v>288</v>
      </c>
      <c r="D11" s="57" t="s">
        <v>263</v>
      </c>
      <c r="E11" s="57">
        <v>20</v>
      </c>
      <c r="F11" s="57">
        <v>0</v>
      </c>
      <c r="G11" s="57">
        <v>6</v>
      </c>
      <c r="H11" s="57">
        <v>5</v>
      </c>
      <c r="I11" s="173">
        <v>5</v>
      </c>
      <c r="J11" s="57">
        <v>10</v>
      </c>
      <c r="K11" s="57">
        <v>12</v>
      </c>
      <c r="L11" s="57">
        <v>10</v>
      </c>
      <c r="M11" s="173">
        <f t="shared" ref="M11:M71" si="8">SUM(E11:L11)</f>
        <v>68</v>
      </c>
      <c r="N11" s="175">
        <v>10.220000000000001</v>
      </c>
      <c r="O11" s="178">
        <f t="shared" si="0"/>
        <v>204.4</v>
      </c>
      <c r="P11" s="178">
        <f t="shared" si="1"/>
        <v>0</v>
      </c>
      <c r="Q11" s="178">
        <f t="shared" si="2"/>
        <v>61.320000000000007</v>
      </c>
      <c r="R11" s="178">
        <f t="shared" si="3"/>
        <v>51.1</v>
      </c>
      <c r="S11" s="178">
        <f t="shared" si="4"/>
        <v>51.1</v>
      </c>
      <c r="T11" s="178">
        <f t="shared" si="5"/>
        <v>102.2</v>
      </c>
      <c r="U11" s="178">
        <f t="shared" si="6"/>
        <v>122.64000000000001</v>
      </c>
      <c r="V11" s="178">
        <f t="shared" si="7"/>
        <v>102.2</v>
      </c>
    </row>
    <row r="12" spans="1:22" ht="86.4">
      <c r="A12" s="180">
        <v>3</v>
      </c>
      <c r="B12" s="301" t="s">
        <v>289</v>
      </c>
      <c r="C12" s="56" t="s">
        <v>290</v>
      </c>
      <c r="D12" s="57" t="s">
        <v>263</v>
      </c>
      <c r="E12" s="57">
        <v>20</v>
      </c>
      <c r="F12" s="57">
        <v>5</v>
      </c>
      <c r="G12" s="57">
        <v>0</v>
      </c>
      <c r="H12" s="57">
        <v>5</v>
      </c>
      <c r="I12" s="173">
        <v>0</v>
      </c>
      <c r="J12" s="57">
        <v>0</v>
      </c>
      <c r="K12" s="57">
        <v>0</v>
      </c>
      <c r="L12" s="57">
        <v>0</v>
      </c>
      <c r="M12" s="173">
        <f>SUM(E12:L12)</f>
        <v>30</v>
      </c>
      <c r="N12" s="175">
        <v>9.6999999999999993</v>
      </c>
      <c r="O12" s="178">
        <f t="shared" si="0"/>
        <v>194</v>
      </c>
      <c r="P12" s="178">
        <f t="shared" si="1"/>
        <v>48.5</v>
      </c>
      <c r="Q12" s="178">
        <f t="shared" si="2"/>
        <v>0</v>
      </c>
      <c r="R12" s="178">
        <f t="shared" si="3"/>
        <v>48.5</v>
      </c>
      <c r="S12" s="178">
        <f t="shared" si="4"/>
        <v>0</v>
      </c>
      <c r="T12" s="178">
        <f t="shared" si="5"/>
        <v>0</v>
      </c>
      <c r="U12" s="178">
        <f t="shared" si="6"/>
        <v>0</v>
      </c>
      <c r="V12" s="178">
        <f t="shared" si="7"/>
        <v>0</v>
      </c>
    </row>
    <row r="13" spans="1:22" ht="43.2">
      <c r="A13" s="180">
        <v>4</v>
      </c>
      <c r="B13" s="300" t="s">
        <v>566</v>
      </c>
      <c r="C13" s="56" t="s">
        <v>317</v>
      </c>
      <c r="D13" s="57" t="s">
        <v>263</v>
      </c>
      <c r="E13" s="57">
        <v>4</v>
      </c>
      <c r="F13" s="57">
        <v>1</v>
      </c>
      <c r="G13" s="57">
        <v>1</v>
      </c>
      <c r="H13" s="57">
        <v>1</v>
      </c>
      <c r="I13" s="57">
        <v>1</v>
      </c>
      <c r="J13" s="57">
        <v>1</v>
      </c>
      <c r="K13" s="57">
        <v>2</v>
      </c>
      <c r="L13" s="57">
        <v>2</v>
      </c>
      <c r="M13" s="173">
        <f>SUM(E13:L13)</f>
        <v>13</v>
      </c>
      <c r="N13" s="175">
        <v>39.03</v>
      </c>
      <c r="O13" s="178">
        <f t="shared" si="0"/>
        <v>156.12</v>
      </c>
      <c r="P13" s="178">
        <f t="shared" si="1"/>
        <v>39.03</v>
      </c>
      <c r="Q13" s="178">
        <f t="shared" si="2"/>
        <v>39.03</v>
      </c>
      <c r="R13" s="178">
        <f t="shared" si="3"/>
        <v>39.03</v>
      </c>
      <c r="S13" s="178">
        <f t="shared" si="4"/>
        <v>39.03</v>
      </c>
      <c r="T13" s="178">
        <f t="shared" si="5"/>
        <v>39.03</v>
      </c>
      <c r="U13" s="178">
        <f t="shared" si="6"/>
        <v>78.06</v>
      </c>
      <c r="V13" s="178">
        <f t="shared" si="7"/>
        <v>78.06</v>
      </c>
    </row>
    <row r="14" spans="1:22" ht="55.8" customHeight="1">
      <c r="A14" s="180">
        <v>5</v>
      </c>
      <c r="B14" s="301" t="s">
        <v>567</v>
      </c>
      <c r="C14" s="56" t="s">
        <v>317</v>
      </c>
      <c r="D14" s="57" t="s">
        <v>263</v>
      </c>
      <c r="E14" s="57">
        <v>6</v>
      </c>
      <c r="F14" s="57">
        <v>0</v>
      </c>
      <c r="G14" s="57">
        <v>2</v>
      </c>
      <c r="H14" s="57">
        <v>2</v>
      </c>
      <c r="I14" s="57">
        <v>1</v>
      </c>
      <c r="J14" s="57">
        <v>1</v>
      </c>
      <c r="K14" s="57">
        <v>4</v>
      </c>
      <c r="L14" s="57">
        <v>2</v>
      </c>
      <c r="M14" s="173">
        <f t="shared" si="8"/>
        <v>18</v>
      </c>
      <c r="N14" s="175">
        <v>14.92</v>
      </c>
      <c r="O14" s="178">
        <f t="shared" si="0"/>
        <v>89.52</v>
      </c>
      <c r="P14" s="178">
        <f t="shared" si="1"/>
        <v>0</v>
      </c>
      <c r="Q14" s="178">
        <f t="shared" si="2"/>
        <v>29.84</v>
      </c>
      <c r="R14" s="178">
        <f t="shared" si="3"/>
        <v>29.84</v>
      </c>
      <c r="S14" s="178">
        <f t="shared" si="4"/>
        <v>14.92</v>
      </c>
      <c r="T14" s="178">
        <f t="shared" si="5"/>
        <v>14.92</v>
      </c>
      <c r="U14" s="178">
        <f t="shared" si="6"/>
        <v>59.68</v>
      </c>
      <c r="V14" s="178">
        <f t="shared" si="7"/>
        <v>29.84</v>
      </c>
    </row>
    <row r="15" spans="1:22" ht="57.6" customHeight="1">
      <c r="A15" s="180">
        <v>6</v>
      </c>
      <c r="B15" s="301" t="s">
        <v>568</v>
      </c>
      <c r="C15" s="56" t="s">
        <v>291</v>
      </c>
      <c r="D15" s="57" t="s">
        <v>263</v>
      </c>
      <c r="E15" s="173">
        <v>60</v>
      </c>
      <c r="F15" s="173">
        <v>5</v>
      </c>
      <c r="G15" s="173">
        <v>6</v>
      </c>
      <c r="H15" s="173">
        <v>10</v>
      </c>
      <c r="I15" s="173">
        <v>4</v>
      </c>
      <c r="J15" s="173">
        <v>8</v>
      </c>
      <c r="K15" s="173">
        <v>5</v>
      </c>
      <c r="L15" s="173">
        <v>10</v>
      </c>
      <c r="M15" s="173">
        <f t="shared" si="8"/>
        <v>108</v>
      </c>
      <c r="N15" s="175">
        <v>5.2</v>
      </c>
      <c r="O15" s="178">
        <f t="shared" si="0"/>
        <v>312</v>
      </c>
      <c r="P15" s="178">
        <f t="shared" si="1"/>
        <v>26</v>
      </c>
      <c r="Q15" s="178">
        <f t="shared" si="2"/>
        <v>31.200000000000003</v>
      </c>
      <c r="R15" s="178">
        <f t="shared" si="3"/>
        <v>52</v>
      </c>
      <c r="S15" s="178">
        <f t="shared" si="4"/>
        <v>20.8</v>
      </c>
      <c r="T15" s="178">
        <f t="shared" si="5"/>
        <v>41.6</v>
      </c>
      <c r="U15" s="178">
        <f t="shared" si="6"/>
        <v>26</v>
      </c>
      <c r="V15" s="178">
        <f t="shared" si="7"/>
        <v>52</v>
      </c>
    </row>
    <row r="16" spans="1:22" ht="31.8" customHeight="1">
      <c r="A16" s="180">
        <v>7</v>
      </c>
      <c r="B16" s="170" t="s">
        <v>569</v>
      </c>
      <c r="C16" s="56" t="s">
        <v>570</v>
      </c>
      <c r="D16" s="57" t="s">
        <v>263</v>
      </c>
      <c r="E16" s="57">
        <v>4</v>
      </c>
      <c r="F16" s="57">
        <v>0</v>
      </c>
      <c r="G16" s="57">
        <v>1</v>
      </c>
      <c r="H16" s="57">
        <v>1</v>
      </c>
      <c r="I16" s="57">
        <v>1</v>
      </c>
      <c r="J16" s="57">
        <v>2</v>
      </c>
      <c r="K16" s="57">
        <v>1</v>
      </c>
      <c r="L16" s="57">
        <v>0</v>
      </c>
      <c r="M16" s="173">
        <f t="shared" si="8"/>
        <v>10</v>
      </c>
      <c r="N16" s="175">
        <v>96.43</v>
      </c>
      <c r="O16" s="178">
        <f t="shared" si="0"/>
        <v>385.72</v>
      </c>
      <c r="P16" s="178">
        <f t="shared" si="1"/>
        <v>0</v>
      </c>
      <c r="Q16" s="178">
        <f t="shared" si="2"/>
        <v>96.43</v>
      </c>
      <c r="R16" s="178">
        <f t="shared" si="3"/>
        <v>96.43</v>
      </c>
      <c r="S16" s="178">
        <f t="shared" si="4"/>
        <v>96.43</v>
      </c>
      <c r="T16" s="178">
        <f t="shared" si="5"/>
        <v>192.86</v>
      </c>
      <c r="U16" s="178">
        <f t="shared" si="6"/>
        <v>96.43</v>
      </c>
      <c r="V16" s="178">
        <f t="shared" si="7"/>
        <v>0</v>
      </c>
    </row>
    <row r="17" spans="1:22" ht="54.6" customHeight="1">
      <c r="A17" s="180">
        <v>8</v>
      </c>
      <c r="B17" s="170" t="s">
        <v>572</v>
      </c>
      <c r="C17" s="56" t="s">
        <v>571</v>
      </c>
      <c r="D17" s="57" t="s">
        <v>263</v>
      </c>
      <c r="E17" s="173">
        <v>4</v>
      </c>
      <c r="F17" s="173">
        <v>1</v>
      </c>
      <c r="G17" s="173">
        <v>1</v>
      </c>
      <c r="H17" s="173">
        <v>1</v>
      </c>
      <c r="I17" s="173">
        <v>1</v>
      </c>
      <c r="J17" s="173">
        <v>0</v>
      </c>
      <c r="K17" s="173">
        <v>1</v>
      </c>
      <c r="L17" s="173">
        <v>2</v>
      </c>
      <c r="M17" s="173">
        <f t="shared" si="8"/>
        <v>11</v>
      </c>
      <c r="N17" s="175">
        <v>99.71</v>
      </c>
      <c r="O17" s="178">
        <f t="shared" si="0"/>
        <v>398.84</v>
      </c>
      <c r="P17" s="178">
        <f t="shared" si="1"/>
        <v>99.71</v>
      </c>
      <c r="Q17" s="178">
        <f t="shared" si="2"/>
        <v>99.71</v>
      </c>
      <c r="R17" s="178">
        <f t="shared" si="3"/>
        <v>99.71</v>
      </c>
      <c r="S17" s="178">
        <f t="shared" si="4"/>
        <v>99.71</v>
      </c>
      <c r="T17" s="178">
        <f t="shared" si="5"/>
        <v>0</v>
      </c>
      <c r="U17" s="178">
        <f t="shared" si="6"/>
        <v>99.71</v>
      </c>
      <c r="V17" s="178">
        <f t="shared" si="7"/>
        <v>199.42</v>
      </c>
    </row>
    <row r="18" spans="1:22" ht="54" customHeight="1">
      <c r="A18" s="180">
        <v>9</v>
      </c>
      <c r="B18" s="170" t="s">
        <v>573</v>
      </c>
      <c r="C18" s="56" t="s">
        <v>574</v>
      </c>
      <c r="D18" s="57" t="s">
        <v>263</v>
      </c>
      <c r="E18" s="57">
        <v>4</v>
      </c>
      <c r="F18" s="173">
        <v>1</v>
      </c>
      <c r="G18" s="57">
        <v>1</v>
      </c>
      <c r="H18" s="57">
        <v>0</v>
      </c>
      <c r="I18" s="57">
        <v>0</v>
      </c>
      <c r="J18" s="57">
        <v>0</v>
      </c>
      <c r="K18" s="57">
        <v>0</v>
      </c>
      <c r="L18" s="57">
        <v>0</v>
      </c>
      <c r="M18" s="173">
        <f t="shared" si="8"/>
        <v>6</v>
      </c>
      <c r="N18" s="175">
        <v>141.66</v>
      </c>
      <c r="O18" s="178">
        <f t="shared" si="0"/>
        <v>566.64</v>
      </c>
      <c r="P18" s="178">
        <f t="shared" si="1"/>
        <v>141.66</v>
      </c>
      <c r="Q18" s="178">
        <f t="shared" si="2"/>
        <v>141.66</v>
      </c>
      <c r="R18" s="178">
        <f t="shared" si="3"/>
        <v>0</v>
      </c>
      <c r="S18" s="178">
        <f t="shared" si="4"/>
        <v>0</v>
      </c>
      <c r="T18" s="178">
        <f t="shared" si="5"/>
        <v>0</v>
      </c>
      <c r="U18" s="178">
        <f t="shared" si="6"/>
        <v>0</v>
      </c>
      <c r="V18" s="178">
        <f t="shared" si="7"/>
        <v>0</v>
      </c>
    </row>
    <row r="19" spans="1:22" s="306" customFormat="1" ht="57.6">
      <c r="A19" s="180">
        <v>10</v>
      </c>
      <c r="B19" s="303" t="s">
        <v>575</v>
      </c>
      <c r="C19" s="197" t="s">
        <v>318</v>
      </c>
      <c r="D19" s="173" t="s">
        <v>263</v>
      </c>
      <c r="E19" s="173">
        <v>20</v>
      </c>
      <c r="F19" s="173">
        <v>3</v>
      </c>
      <c r="G19" s="173">
        <v>12</v>
      </c>
      <c r="H19" s="173">
        <v>8</v>
      </c>
      <c r="I19" s="173">
        <v>4</v>
      </c>
      <c r="J19" s="173">
        <v>12</v>
      </c>
      <c r="K19" s="173">
        <v>14</v>
      </c>
      <c r="L19" s="173">
        <v>0</v>
      </c>
      <c r="M19" s="173">
        <f>SUM(E19:L19)</f>
        <v>73</v>
      </c>
      <c r="N19" s="304">
        <v>15.95</v>
      </c>
      <c r="O19" s="305">
        <f t="shared" si="0"/>
        <v>319</v>
      </c>
      <c r="P19" s="305">
        <f t="shared" si="1"/>
        <v>47.849999999999994</v>
      </c>
      <c r="Q19" s="305">
        <f t="shared" si="2"/>
        <v>191.39999999999998</v>
      </c>
      <c r="R19" s="305">
        <f t="shared" si="3"/>
        <v>127.6</v>
      </c>
      <c r="S19" s="305">
        <f t="shared" si="4"/>
        <v>63.8</v>
      </c>
      <c r="T19" s="305">
        <f t="shared" si="5"/>
        <v>191.39999999999998</v>
      </c>
      <c r="U19" s="305">
        <f t="shared" si="6"/>
        <v>223.29999999999998</v>
      </c>
      <c r="V19" s="305">
        <f t="shared" si="7"/>
        <v>0</v>
      </c>
    </row>
    <row r="20" spans="1:22" ht="43.2">
      <c r="A20" s="180">
        <v>11</v>
      </c>
      <c r="B20" s="170" t="s">
        <v>334</v>
      </c>
      <c r="C20" s="56" t="s">
        <v>576</v>
      </c>
      <c r="D20" s="57" t="s">
        <v>263</v>
      </c>
      <c r="E20" s="57">
        <v>2</v>
      </c>
      <c r="F20" s="57">
        <v>1</v>
      </c>
      <c r="G20" s="57">
        <v>1</v>
      </c>
      <c r="H20" s="57">
        <v>2</v>
      </c>
      <c r="I20" s="57">
        <v>0</v>
      </c>
      <c r="J20" s="57">
        <v>2</v>
      </c>
      <c r="K20" s="57">
        <v>1</v>
      </c>
      <c r="L20" s="57">
        <v>1</v>
      </c>
      <c r="M20" s="173">
        <f>SUM(E20:L20)</f>
        <v>10</v>
      </c>
      <c r="N20" s="175">
        <v>60.22</v>
      </c>
      <c r="O20" s="178">
        <f t="shared" si="0"/>
        <v>120.44</v>
      </c>
      <c r="P20" s="178">
        <f t="shared" si="1"/>
        <v>60.22</v>
      </c>
      <c r="Q20" s="178">
        <f t="shared" si="2"/>
        <v>60.22</v>
      </c>
      <c r="R20" s="178">
        <f t="shared" si="3"/>
        <v>120.44</v>
      </c>
      <c r="S20" s="178">
        <f t="shared" si="4"/>
        <v>0</v>
      </c>
      <c r="T20" s="178">
        <f t="shared" si="5"/>
        <v>120.44</v>
      </c>
      <c r="U20" s="178">
        <f t="shared" si="6"/>
        <v>60.22</v>
      </c>
      <c r="V20" s="178">
        <f t="shared" si="7"/>
        <v>60.22</v>
      </c>
    </row>
    <row r="21" spans="1:22" ht="28.8">
      <c r="A21" s="180">
        <v>12</v>
      </c>
      <c r="B21" s="170" t="s">
        <v>577</v>
      </c>
      <c r="C21" s="56" t="s">
        <v>578</v>
      </c>
      <c r="D21" s="57" t="s">
        <v>263</v>
      </c>
      <c r="E21" s="57">
        <v>0</v>
      </c>
      <c r="F21" s="173">
        <v>0</v>
      </c>
      <c r="G21" s="57">
        <v>0</v>
      </c>
      <c r="H21" s="57">
        <v>0</v>
      </c>
      <c r="I21" s="57">
        <v>0</v>
      </c>
      <c r="J21" s="57">
        <v>0</v>
      </c>
      <c r="K21" s="57">
        <v>2</v>
      </c>
      <c r="L21" s="57">
        <v>2</v>
      </c>
      <c r="M21" s="173">
        <f>SUM(E21:L21)</f>
        <v>4</v>
      </c>
      <c r="N21" s="175">
        <v>7.39</v>
      </c>
      <c r="O21" s="178">
        <f t="shared" si="0"/>
        <v>0</v>
      </c>
      <c r="P21" s="178">
        <f t="shared" si="1"/>
        <v>0</v>
      </c>
      <c r="Q21" s="178">
        <f t="shared" si="2"/>
        <v>0</v>
      </c>
      <c r="R21" s="178">
        <f t="shared" si="3"/>
        <v>0</v>
      </c>
      <c r="S21" s="178">
        <f t="shared" si="4"/>
        <v>0</v>
      </c>
      <c r="T21" s="178">
        <f t="shared" si="5"/>
        <v>0</v>
      </c>
      <c r="U21" s="178">
        <f t="shared" si="6"/>
        <v>14.78</v>
      </c>
      <c r="V21" s="178">
        <f t="shared" si="7"/>
        <v>14.78</v>
      </c>
    </row>
    <row r="22" spans="1:22" ht="28.8">
      <c r="A22" s="180">
        <v>13</v>
      </c>
      <c r="B22" s="170" t="s">
        <v>319</v>
      </c>
      <c r="C22" s="56" t="s">
        <v>320</v>
      </c>
      <c r="D22" s="57" t="s">
        <v>263</v>
      </c>
      <c r="E22" s="57">
        <v>6</v>
      </c>
      <c r="F22" s="57">
        <v>1</v>
      </c>
      <c r="G22" s="57">
        <v>2</v>
      </c>
      <c r="H22" s="57">
        <v>3</v>
      </c>
      <c r="I22" s="57">
        <v>1</v>
      </c>
      <c r="J22" s="57">
        <v>2</v>
      </c>
      <c r="K22" s="57">
        <v>1</v>
      </c>
      <c r="L22" s="57">
        <v>2</v>
      </c>
      <c r="M22" s="173">
        <f t="shared" si="8"/>
        <v>18</v>
      </c>
      <c r="N22" s="175">
        <v>4.2300000000000004</v>
      </c>
      <c r="O22" s="178">
        <f t="shared" si="0"/>
        <v>25.380000000000003</v>
      </c>
      <c r="P22" s="178">
        <f t="shared" si="1"/>
        <v>4.2300000000000004</v>
      </c>
      <c r="Q22" s="178">
        <f t="shared" si="2"/>
        <v>8.4600000000000009</v>
      </c>
      <c r="R22" s="178">
        <f t="shared" si="3"/>
        <v>12.690000000000001</v>
      </c>
      <c r="S22" s="178">
        <f t="shared" si="4"/>
        <v>4.2300000000000004</v>
      </c>
      <c r="T22" s="178">
        <f t="shared" si="5"/>
        <v>8.4600000000000009</v>
      </c>
      <c r="U22" s="178">
        <f t="shared" si="6"/>
        <v>4.2300000000000004</v>
      </c>
      <c r="V22" s="178">
        <f t="shared" si="7"/>
        <v>8.4600000000000009</v>
      </c>
    </row>
    <row r="23" spans="1:22" ht="57.6">
      <c r="A23" s="180">
        <v>14</v>
      </c>
      <c r="B23" s="170" t="s">
        <v>321</v>
      </c>
      <c r="C23" s="56" t="s">
        <v>579</v>
      </c>
      <c r="D23" s="57" t="s">
        <v>263</v>
      </c>
      <c r="E23" s="57">
        <v>24</v>
      </c>
      <c r="F23" s="57">
        <v>12</v>
      </c>
      <c r="G23" s="57">
        <v>18</v>
      </c>
      <c r="H23" s="57">
        <v>24</v>
      </c>
      <c r="I23" s="57">
        <v>0</v>
      </c>
      <c r="J23" s="57">
        <v>15</v>
      </c>
      <c r="K23" s="57">
        <v>30</v>
      </c>
      <c r="L23" s="57">
        <v>20</v>
      </c>
      <c r="M23" s="173">
        <f t="shared" si="8"/>
        <v>143</v>
      </c>
      <c r="N23" s="175">
        <v>4.34</v>
      </c>
      <c r="O23" s="178">
        <f t="shared" si="0"/>
        <v>104.16</v>
      </c>
      <c r="P23" s="178">
        <f t="shared" si="1"/>
        <v>52.08</v>
      </c>
      <c r="Q23" s="178">
        <f t="shared" si="2"/>
        <v>78.12</v>
      </c>
      <c r="R23" s="178">
        <f t="shared" si="3"/>
        <v>104.16</v>
      </c>
      <c r="S23" s="178">
        <f t="shared" si="4"/>
        <v>0</v>
      </c>
      <c r="T23" s="178">
        <f t="shared" si="5"/>
        <v>65.099999999999994</v>
      </c>
      <c r="U23" s="178">
        <f t="shared" si="6"/>
        <v>130.19999999999999</v>
      </c>
      <c r="V23" s="178">
        <f t="shared" si="7"/>
        <v>86.8</v>
      </c>
    </row>
    <row r="24" spans="1:22" ht="43.2">
      <c r="A24" s="180">
        <v>15</v>
      </c>
      <c r="B24" s="170" t="s">
        <v>322</v>
      </c>
      <c r="C24" s="56" t="s">
        <v>323</v>
      </c>
      <c r="D24" s="57" t="s">
        <v>263</v>
      </c>
      <c r="E24" s="57">
        <v>0</v>
      </c>
      <c r="F24" s="57">
        <v>0</v>
      </c>
      <c r="G24" s="57">
        <v>0</v>
      </c>
      <c r="H24" s="57">
        <v>0</v>
      </c>
      <c r="I24" s="57">
        <v>0</v>
      </c>
      <c r="J24" s="57">
        <v>0</v>
      </c>
      <c r="K24" s="57">
        <v>30</v>
      </c>
      <c r="L24" s="57">
        <v>0</v>
      </c>
      <c r="M24" s="173">
        <f t="shared" si="8"/>
        <v>30</v>
      </c>
      <c r="N24" s="175">
        <v>4.3099999999999996</v>
      </c>
      <c r="O24" s="178">
        <f t="shared" si="0"/>
        <v>0</v>
      </c>
      <c r="P24" s="178">
        <f t="shared" si="1"/>
        <v>0</v>
      </c>
      <c r="Q24" s="178">
        <f t="shared" si="2"/>
        <v>0</v>
      </c>
      <c r="R24" s="178">
        <f t="shared" si="3"/>
        <v>0</v>
      </c>
      <c r="S24" s="178">
        <f t="shared" si="4"/>
        <v>0</v>
      </c>
      <c r="T24" s="178">
        <f t="shared" si="5"/>
        <v>0</v>
      </c>
      <c r="U24" s="178">
        <f t="shared" si="6"/>
        <v>129.29999999999998</v>
      </c>
      <c r="V24" s="178">
        <f t="shared" si="7"/>
        <v>0</v>
      </c>
    </row>
    <row r="25" spans="1:22" ht="57.6">
      <c r="A25" s="180">
        <v>16</v>
      </c>
      <c r="B25" s="170" t="s">
        <v>292</v>
      </c>
      <c r="C25" s="56" t="s">
        <v>293</v>
      </c>
      <c r="D25" s="57" t="s">
        <v>263</v>
      </c>
      <c r="E25" s="57">
        <v>3</v>
      </c>
      <c r="F25" s="57">
        <v>1</v>
      </c>
      <c r="G25" s="57">
        <v>1</v>
      </c>
      <c r="H25" s="57">
        <v>2</v>
      </c>
      <c r="I25" s="57">
        <v>1</v>
      </c>
      <c r="J25" s="57">
        <v>2</v>
      </c>
      <c r="K25" s="57">
        <v>1</v>
      </c>
      <c r="L25" s="57">
        <v>2</v>
      </c>
      <c r="M25" s="173">
        <f t="shared" si="8"/>
        <v>13</v>
      </c>
      <c r="N25" s="175">
        <v>6.17</v>
      </c>
      <c r="O25" s="178">
        <f t="shared" si="0"/>
        <v>18.509999999999998</v>
      </c>
      <c r="P25" s="178">
        <f t="shared" si="1"/>
        <v>6.17</v>
      </c>
      <c r="Q25" s="178">
        <f t="shared" si="2"/>
        <v>6.17</v>
      </c>
      <c r="R25" s="178">
        <f t="shared" si="3"/>
        <v>12.34</v>
      </c>
      <c r="S25" s="178">
        <f t="shared" si="4"/>
        <v>6.17</v>
      </c>
      <c r="T25" s="178">
        <f t="shared" si="5"/>
        <v>12.34</v>
      </c>
      <c r="U25" s="178">
        <f t="shared" si="6"/>
        <v>6.17</v>
      </c>
      <c r="V25" s="178">
        <f t="shared" si="7"/>
        <v>12.34</v>
      </c>
    </row>
    <row r="26" spans="1:22" ht="46.8" customHeight="1">
      <c r="A26" s="180">
        <v>17</v>
      </c>
      <c r="B26" s="170" t="s">
        <v>294</v>
      </c>
      <c r="C26" s="56" t="s">
        <v>295</v>
      </c>
      <c r="D26" s="57" t="s">
        <v>263</v>
      </c>
      <c r="E26" s="57">
        <v>3</v>
      </c>
      <c r="F26" s="57">
        <v>1</v>
      </c>
      <c r="G26" s="57">
        <v>1</v>
      </c>
      <c r="H26" s="57">
        <v>2</v>
      </c>
      <c r="I26" s="57">
        <v>1</v>
      </c>
      <c r="J26" s="57">
        <v>2</v>
      </c>
      <c r="K26" s="57">
        <v>2</v>
      </c>
      <c r="L26" s="57">
        <v>2</v>
      </c>
      <c r="M26" s="173">
        <f t="shared" si="8"/>
        <v>14</v>
      </c>
      <c r="N26" s="175">
        <v>44.36</v>
      </c>
      <c r="O26" s="178">
        <f t="shared" si="0"/>
        <v>133.07999999999998</v>
      </c>
      <c r="P26" s="178">
        <f t="shared" si="1"/>
        <v>44.36</v>
      </c>
      <c r="Q26" s="178">
        <f t="shared" si="2"/>
        <v>44.36</v>
      </c>
      <c r="R26" s="178">
        <f t="shared" si="3"/>
        <v>88.72</v>
      </c>
      <c r="S26" s="178">
        <f t="shared" si="4"/>
        <v>44.36</v>
      </c>
      <c r="T26" s="178">
        <f t="shared" si="5"/>
        <v>88.72</v>
      </c>
      <c r="U26" s="178">
        <f t="shared" si="6"/>
        <v>88.72</v>
      </c>
      <c r="V26" s="178">
        <f t="shared" si="7"/>
        <v>88.72</v>
      </c>
    </row>
    <row r="27" spans="1:22" ht="58.2" customHeight="1">
      <c r="A27" s="180">
        <v>18</v>
      </c>
      <c r="B27" s="170" t="s">
        <v>324</v>
      </c>
      <c r="C27" s="56" t="s">
        <v>325</v>
      </c>
      <c r="D27" s="57" t="s">
        <v>263</v>
      </c>
      <c r="E27" s="57">
        <v>2</v>
      </c>
      <c r="F27" s="57">
        <v>0</v>
      </c>
      <c r="G27" s="57">
        <v>2</v>
      </c>
      <c r="H27" s="57">
        <v>2</v>
      </c>
      <c r="I27" s="57">
        <v>1</v>
      </c>
      <c r="J27" s="57">
        <v>1</v>
      </c>
      <c r="K27" s="57">
        <v>1</v>
      </c>
      <c r="L27" s="57">
        <v>2</v>
      </c>
      <c r="M27" s="173">
        <f>SUM(E27:L27)</f>
        <v>11</v>
      </c>
      <c r="N27" s="175">
        <v>40.44</v>
      </c>
      <c r="O27" s="178">
        <f t="shared" si="0"/>
        <v>80.88</v>
      </c>
      <c r="P27" s="178">
        <f t="shared" si="1"/>
        <v>0</v>
      </c>
      <c r="Q27" s="178">
        <f t="shared" si="2"/>
        <v>80.88</v>
      </c>
      <c r="R27" s="178">
        <f t="shared" si="3"/>
        <v>80.88</v>
      </c>
      <c r="S27" s="178">
        <f t="shared" si="4"/>
        <v>40.44</v>
      </c>
      <c r="T27" s="178">
        <f t="shared" si="5"/>
        <v>40.44</v>
      </c>
      <c r="U27" s="178">
        <f t="shared" si="6"/>
        <v>40.44</v>
      </c>
      <c r="V27" s="178">
        <f t="shared" si="7"/>
        <v>80.88</v>
      </c>
    </row>
    <row r="28" spans="1:22" ht="57.6">
      <c r="A28" s="180">
        <v>19</v>
      </c>
      <c r="B28" s="170" t="s">
        <v>326</v>
      </c>
      <c r="C28" s="56" t="s">
        <v>327</v>
      </c>
      <c r="D28" s="57" t="s">
        <v>263</v>
      </c>
      <c r="E28" s="57">
        <v>2</v>
      </c>
      <c r="F28" s="57">
        <v>0</v>
      </c>
      <c r="G28" s="57">
        <v>2</v>
      </c>
      <c r="H28" s="57">
        <v>2</v>
      </c>
      <c r="I28" s="57">
        <v>1</v>
      </c>
      <c r="J28" s="57">
        <v>1</v>
      </c>
      <c r="K28" s="57">
        <v>1</v>
      </c>
      <c r="L28" s="57">
        <v>2</v>
      </c>
      <c r="M28" s="173">
        <f>SUM(E28:L28)</f>
        <v>11</v>
      </c>
      <c r="N28" s="175">
        <v>30.22</v>
      </c>
      <c r="O28" s="178">
        <f t="shared" si="0"/>
        <v>60.44</v>
      </c>
      <c r="P28" s="178">
        <f t="shared" si="1"/>
        <v>0</v>
      </c>
      <c r="Q28" s="178">
        <f t="shared" si="2"/>
        <v>60.44</v>
      </c>
      <c r="R28" s="178">
        <f t="shared" si="3"/>
        <v>60.44</v>
      </c>
      <c r="S28" s="178">
        <f t="shared" si="4"/>
        <v>30.22</v>
      </c>
      <c r="T28" s="178">
        <f t="shared" si="5"/>
        <v>30.22</v>
      </c>
      <c r="U28" s="178">
        <f t="shared" si="6"/>
        <v>30.22</v>
      </c>
      <c r="V28" s="178">
        <f t="shared" si="7"/>
        <v>60.44</v>
      </c>
    </row>
    <row r="29" spans="1:22" ht="57.6">
      <c r="A29" s="180">
        <v>20</v>
      </c>
      <c r="B29" s="170" t="s">
        <v>501</v>
      </c>
      <c r="C29" s="56" t="s">
        <v>580</v>
      </c>
      <c r="D29" s="57" t="s">
        <v>263</v>
      </c>
      <c r="E29" s="173">
        <v>40</v>
      </c>
      <c r="F29" s="173">
        <v>0</v>
      </c>
      <c r="G29" s="173">
        <v>5</v>
      </c>
      <c r="H29" s="173">
        <v>5</v>
      </c>
      <c r="I29" s="173">
        <v>2</v>
      </c>
      <c r="J29" s="173">
        <v>0</v>
      </c>
      <c r="K29" s="173">
        <v>3</v>
      </c>
      <c r="L29" s="173">
        <v>7</v>
      </c>
      <c r="M29" s="173">
        <f t="shared" si="8"/>
        <v>62</v>
      </c>
      <c r="N29" s="175">
        <v>67.900000000000006</v>
      </c>
      <c r="O29" s="178">
        <f t="shared" si="0"/>
        <v>2716</v>
      </c>
      <c r="P29" s="178">
        <f t="shared" si="1"/>
        <v>0</v>
      </c>
      <c r="Q29" s="178">
        <f t="shared" si="2"/>
        <v>339.5</v>
      </c>
      <c r="R29" s="178">
        <f t="shared" si="3"/>
        <v>339.5</v>
      </c>
      <c r="S29" s="178">
        <f t="shared" si="4"/>
        <v>135.80000000000001</v>
      </c>
      <c r="T29" s="178">
        <f t="shared" si="5"/>
        <v>0</v>
      </c>
      <c r="U29" s="178">
        <f t="shared" si="6"/>
        <v>203.70000000000002</v>
      </c>
      <c r="V29" s="178">
        <f t="shared" si="7"/>
        <v>475.30000000000007</v>
      </c>
    </row>
    <row r="30" spans="1:22" ht="69" customHeight="1">
      <c r="A30" s="180">
        <v>21</v>
      </c>
      <c r="B30" s="174" t="s">
        <v>296</v>
      </c>
      <c r="C30" s="56" t="s">
        <v>297</v>
      </c>
      <c r="D30" s="57" t="s">
        <v>263</v>
      </c>
      <c r="E30" s="57">
        <v>0</v>
      </c>
      <c r="F30" s="57">
        <v>0</v>
      </c>
      <c r="G30" s="57">
        <v>0</v>
      </c>
      <c r="H30" s="57">
        <v>1</v>
      </c>
      <c r="I30" s="57">
        <v>0</v>
      </c>
      <c r="J30" s="57">
        <v>1</v>
      </c>
      <c r="K30" s="57">
        <v>1</v>
      </c>
      <c r="L30" s="57">
        <v>0</v>
      </c>
      <c r="M30" s="173">
        <f t="shared" si="8"/>
        <v>3</v>
      </c>
      <c r="N30" s="236">
        <v>38.99</v>
      </c>
      <c r="O30" s="178">
        <f t="shared" si="0"/>
        <v>0</v>
      </c>
      <c r="P30" s="178">
        <f t="shared" si="1"/>
        <v>0</v>
      </c>
      <c r="Q30" s="178">
        <f t="shared" si="2"/>
        <v>0</v>
      </c>
      <c r="R30" s="178">
        <f t="shared" si="3"/>
        <v>38.99</v>
      </c>
      <c r="S30" s="178">
        <f t="shared" si="4"/>
        <v>0</v>
      </c>
      <c r="T30" s="178">
        <f t="shared" si="5"/>
        <v>38.99</v>
      </c>
      <c r="U30" s="178">
        <f t="shared" si="6"/>
        <v>38.99</v>
      </c>
      <c r="V30" s="178">
        <f t="shared" si="7"/>
        <v>0</v>
      </c>
    </row>
    <row r="31" spans="1:22" ht="43.2">
      <c r="A31" s="180">
        <v>22</v>
      </c>
      <c r="B31" s="307" t="s">
        <v>307</v>
      </c>
      <c r="C31" s="197" t="s">
        <v>581</v>
      </c>
      <c r="D31" s="173" t="s">
        <v>263</v>
      </c>
      <c r="E31" s="173">
        <v>6</v>
      </c>
      <c r="F31" s="173">
        <v>0</v>
      </c>
      <c r="G31" s="173">
        <v>2</v>
      </c>
      <c r="H31" s="173">
        <v>2</v>
      </c>
      <c r="I31" s="173">
        <v>2</v>
      </c>
      <c r="J31" s="173">
        <v>4</v>
      </c>
      <c r="K31" s="173">
        <v>3</v>
      </c>
      <c r="L31" s="173">
        <v>6</v>
      </c>
      <c r="M31" s="173">
        <f>SUM(E31:L31)</f>
        <v>25</v>
      </c>
      <c r="N31" s="175">
        <v>4.21</v>
      </c>
      <c r="O31" s="178">
        <f t="shared" si="0"/>
        <v>25.259999999999998</v>
      </c>
      <c r="P31" s="178">
        <f t="shared" si="1"/>
        <v>0</v>
      </c>
      <c r="Q31" s="178">
        <f t="shared" si="2"/>
        <v>8.42</v>
      </c>
      <c r="R31" s="178">
        <f t="shared" si="3"/>
        <v>8.42</v>
      </c>
      <c r="S31" s="178">
        <f t="shared" si="4"/>
        <v>8.42</v>
      </c>
      <c r="T31" s="178">
        <f t="shared" si="5"/>
        <v>16.84</v>
      </c>
      <c r="U31" s="178">
        <f t="shared" si="6"/>
        <v>12.629999999999999</v>
      </c>
      <c r="V31" s="178">
        <f t="shared" si="7"/>
        <v>25.259999999999998</v>
      </c>
    </row>
    <row r="32" spans="1:22" s="297" customFormat="1" ht="43.2">
      <c r="A32" s="180">
        <v>23</v>
      </c>
      <c r="B32" s="244" t="s">
        <v>504</v>
      </c>
      <c r="C32" s="56" t="s">
        <v>582</v>
      </c>
      <c r="D32" s="57" t="s">
        <v>263</v>
      </c>
      <c r="E32" s="57">
        <v>0</v>
      </c>
      <c r="F32" s="57">
        <v>0</v>
      </c>
      <c r="G32" s="57">
        <v>0</v>
      </c>
      <c r="H32" s="57">
        <v>1</v>
      </c>
      <c r="I32" s="57">
        <v>0</v>
      </c>
      <c r="J32" s="57">
        <v>1</v>
      </c>
      <c r="K32" s="57">
        <v>0</v>
      </c>
      <c r="L32" s="57">
        <v>0</v>
      </c>
      <c r="M32" s="173">
        <f>SUM(E32:L32)</f>
        <v>2</v>
      </c>
      <c r="N32" s="236">
        <v>22.5</v>
      </c>
      <c r="O32" s="178">
        <f t="shared" si="0"/>
        <v>0</v>
      </c>
      <c r="P32" s="178">
        <f t="shared" si="1"/>
        <v>0</v>
      </c>
      <c r="Q32" s="178">
        <f t="shared" si="2"/>
        <v>0</v>
      </c>
      <c r="R32" s="178">
        <f t="shared" si="3"/>
        <v>22.5</v>
      </c>
      <c r="S32" s="178">
        <f t="shared" si="4"/>
        <v>0</v>
      </c>
      <c r="T32" s="178">
        <f t="shared" si="5"/>
        <v>22.5</v>
      </c>
      <c r="U32" s="178">
        <f t="shared" si="6"/>
        <v>0</v>
      </c>
      <c r="V32" s="178">
        <f t="shared" si="7"/>
        <v>0</v>
      </c>
    </row>
    <row r="33" spans="1:22" ht="28.8">
      <c r="A33" s="180">
        <v>24</v>
      </c>
      <c r="B33" s="174" t="s">
        <v>584</v>
      </c>
      <c r="C33" s="56" t="s">
        <v>583</v>
      </c>
      <c r="D33" s="57" t="s">
        <v>263</v>
      </c>
      <c r="E33" s="57">
        <v>0</v>
      </c>
      <c r="F33" s="57">
        <v>0</v>
      </c>
      <c r="G33" s="57">
        <v>0</v>
      </c>
      <c r="H33" s="57">
        <v>1</v>
      </c>
      <c r="I33" s="57">
        <v>0</v>
      </c>
      <c r="J33" s="57">
        <v>2</v>
      </c>
      <c r="K33" s="57">
        <v>0</v>
      </c>
      <c r="L33" s="57">
        <v>0</v>
      </c>
      <c r="M33" s="173">
        <f>SUM(E33:L33)</f>
        <v>3</v>
      </c>
      <c r="N33" s="236">
        <v>20.329999999999998</v>
      </c>
      <c r="O33" s="178">
        <f t="shared" si="0"/>
        <v>0</v>
      </c>
      <c r="P33" s="178">
        <f t="shared" si="1"/>
        <v>0</v>
      </c>
      <c r="Q33" s="178">
        <f t="shared" si="2"/>
        <v>0</v>
      </c>
      <c r="R33" s="178">
        <f t="shared" si="3"/>
        <v>20.329999999999998</v>
      </c>
      <c r="S33" s="178">
        <f t="shared" si="4"/>
        <v>0</v>
      </c>
      <c r="T33" s="178">
        <f t="shared" si="5"/>
        <v>40.659999999999997</v>
      </c>
      <c r="U33" s="178">
        <f t="shared" si="6"/>
        <v>0</v>
      </c>
      <c r="V33" s="178">
        <f t="shared" si="7"/>
        <v>0</v>
      </c>
    </row>
    <row r="34" spans="1:22" ht="43.2">
      <c r="A34" s="180">
        <v>25</v>
      </c>
      <c r="B34" s="170" t="s">
        <v>328</v>
      </c>
      <c r="C34" s="56" t="s">
        <v>585</v>
      </c>
      <c r="D34" s="56" t="s">
        <v>263</v>
      </c>
      <c r="E34" s="57">
        <v>8</v>
      </c>
      <c r="F34" s="57">
        <v>1</v>
      </c>
      <c r="G34" s="57">
        <v>2</v>
      </c>
      <c r="H34" s="57">
        <v>2</v>
      </c>
      <c r="I34" s="57">
        <v>1</v>
      </c>
      <c r="J34" s="57">
        <v>2</v>
      </c>
      <c r="K34" s="57">
        <v>1</v>
      </c>
      <c r="L34" s="57">
        <v>4</v>
      </c>
      <c r="M34" s="173">
        <f t="shared" si="8"/>
        <v>21</v>
      </c>
      <c r="N34" s="175">
        <v>11.2</v>
      </c>
      <c r="O34" s="178">
        <f t="shared" si="0"/>
        <v>89.6</v>
      </c>
      <c r="P34" s="178">
        <f t="shared" si="1"/>
        <v>11.2</v>
      </c>
      <c r="Q34" s="178">
        <f t="shared" si="2"/>
        <v>22.4</v>
      </c>
      <c r="R34" s="178">
        <f t="shared" si="3"/>
        <v>22.4</v>
      </c>
      <c r="S34" s="178">
        <f t="shared" si="4"/>
        <v>11.2</v>
      </c>
      <c r="T34" s="178">
        <f t="shared" si="5"/>
        <v>22.4</v>
      </c>
      <c r="U34" s="178">
        <f t="shared" si="6"/>
        <v>11.2</v>
      </c>
      <c r="V34" s="178">
        <f t="shared" si="7"/>
        <v>44.8</v>
      </c>
    </row>
    <row r="35" spans="1:22" ht="43.2">
      <c r="A35" s="180">
        <v>26</v>
      </c>
      <c r="B35" s="174" t="s">
        <v>587</v>
      </c>
      <c r="C35" s="56" t="s">
        <v>586</v>
      </c>
      <c r="D35" s="57" t="s">
        <v>263</v>
      </c>
      <c r="E35" s="173">
        <v>50</v>
      </c>
      <c r="F35" s="173">
        <v>5</v>
      </c>
      <c r="G35" s="173">
        <v>15</v>
      </c>
      <c r="H35" s="173">
        <v>10</v>
      </c>
      <c r="I35" s="173">
        <v>6</v>
      </c>
      <c r="J35" s="173">
        <v>6</v>
      </c>
      <c r="K35" s="173">
        <v>4</v>
      </c>
      <c r="L35" s="173">
        <v>15</v>
      </c>
      <c r="M35" s="173">
        <f t="shared" si="8"/>
        <v>111</v>
      </c>
      <c r="N35" s="236">
        <v>6.12</v>
      </c>
      <c r="O35" s="178">
        <f t="shared" si="0"/>
        <v>306</v>
      </c>
      <c r="P35" s="178">
        <f t="shared" si="1"/>
        <v>30.6</v>
      </c>
      <c r="Q35" s="178">
        <f t="shared" si="2"/>
        <v>91.8</v>
      </c>
      <c r="R35" s="178">
        <f t="shared" si="3"/>
        <v>61.2</v>
      </c>
      <c r="S35" s="178">
        <f t="shared" si="4"/>
        <v>36.72</v>
      </c>
      <c r="T35" s="178">
        <f t="shared" si="5"/>
        <v>36.72</v>
      </c>
      <c r="U35" s="178">
        <f t="shared" si="6"/>
        <v>24.48</v>
      </c>
      <c r="V35" s="178">
        <f t="shared" si="7"/>
        <v>91.8</v>
      </c>
    </row>
    <row r="36" spans="1:22" ht="17.399999999999999" customHeight="1">
      <c r="A36" s="180">
        <v>27</v>
      </c>
      <c r="B36" s="174" t="s">
        <v>298</v>
      </c>
      <c r="C36" s="56" t="s">
        <v>299</v>
      </c>
      <c r="D36" s="57" t="s">
        <v>263</v>
      </c>
      <c r="E36" s="57">
        <v>0</v>
      </c>
      <c r="F36" s="57">
        <v>0</v>
      </c>
      <c r="G36" s="57">
        <v>0</v>
      </c>
      <c r="H36" s="57">
        <v>0</v>
      </c>
      <c r="I36" s="57">
        <v>0</v>
      </c>
      <c r="J36" s="57">
        <v>0</v>
      </c>
      <c r="K36" s="57">
        <v>1</v>
      </c>
      <c r="L36" s="57">
        <v>0</v>
      </c>
      <c r="M36" s="173">
        <f t="shared" si="8"/>
        <v>1</v>
      </c>
      <c r="N36" s="175">
        <v>64.73</v>
      </c>
      <c r="O36" s="178">
        <f t="shared" si="0"/>
        <v>0</v>
      </c>
      <c r="P36" s="178">
        <f t="shared" si="1"/>
        <v>0</v>
      </c>
      <c r="Q36" s="178">
        <f t="shared" si="2"/>
        <v>0</v>
      </c>
      <c r="R36" s="178">
        <f t="shared" si="3"/>
        <v>0</v>
      </c>
      <c r="S36" s="178">
        <f t="shared" si="4"/>
        <v>0</v>
      </c>
      <c r="T36" s="178">
        <f t="shared" si="5"/>
        <v>0</v>
      </c>
      <c r="U36" s="178">
        <f t="shared" si="6"/>
        <v>64.73</v>
      </c>
      <c r="V36" s="178">
        <f t="shared" si="7"/>
        <v>0</v>
      </c>
    </row>
    <row r="37" spans="1:22" ht="57.6">
      <c r="A37" s="180">
        <v>28</v>
      </c>
      <c r="B37" s="170" t="s">
        <v>301</v>
      </c>
      <c r="C37" s="56" t="s">
        <v>302</v>
      </c>
      <c r="D37" s="57" t="s">
        <v>263</v>
      </c>
      <c r="E37" s="173">
        <v>10</v>
      </c>
      <c r="F37" s="173">
        <v>1</v>
      </c>
      <c r="G37" s="173">
        <v>4</v>
      </c>
      <c r="H37" s="173">
        <v>4</v>
      </c>
      <c r="I37" s="173">
        <v>2</v>
      </c>
      <c r="J37" s="173">
        <v>4</v>
      </c>
      <c r="K37" s="173">
        <v>2</v>
      </c>
      <c r="L37" s="173">
        <v>5</v>
      </c>
      <c r="M37" s="173">
        <f t="shared" si="8"/>
        <v>32</v>
      </c>
      <c r="N37" s="175">
        <v>28.16</v>
      </c>
      <c r="O37" s="178">
        <f t="shared" si="0"/>
        <v>281.60000000000002</v>
      </c>
      <c r="P37" s="178">
        <f t="shared" si="1"/>
        <v>28.16</v>
      </c>
      <c r="Q37" s="178">
        <f t="shared" si="2"/>
        <v>112.64</v>
      </c>
      <c r="R37" s="178">
        <f t="shared" si="3"/>
        <v>112.64</v>
      </c>
      <c r="S37" s="178">
        <f t="shared" si="4"/>
        <v>56.32</v>
      </c>
      <c r="T37" s="178">
        <f t="shared" si="5"/>
        <v>112.64</v>
      </c>
      <c r="U37" s="178">
        <f t="shared" si="6"/>
        <v>56.32</v>
      </c>
      <c r="V37" s="178">
        <f t="shared" si="7"/>
        <v>140.80000000000001</v>
      </c>
    </row>
    <row r="38" spans="1:22" ht="90.6" customHeight="1">
      <c r="A38" s="180">
        <v>29</v>
      </c>
      <c r="B38" s="170" t="s">
        <v>588</v>
      </c>
      <c r="C38" s="56" t="s">
        <v>589</v>
      </c>
      <c r="D38" s="57" t="s">
        <v>263</v>
      </c>
      <c r="E38" s="173">
        <v>15</v>
      </c>
      <c r="F38" s="173">
        <v>0</v>
      </c>
      <c r="G38" s="173">
        <v>3</v>
      </c>
      <c r="H38" s="173">
        <v>5</v>
      </c>
      <c r="I38" s="173">
        <v>4</v>
      </c>
      <c r="J38" s="173">
        <v>4</v>
      </c>
      <c r="K38" s="173">
        <v>5</v>
      </c>
      <c r="L38" s="173">
        <v>4</v>
      </c>
      <c r="M38" s="173">
        <f t="shared" si="8"/>
        <v>40</v>
      </c>
      <c r="N38" s="175">
        <v>44.95</v>
      </c>
      <c r="O38" s="178">
        <f t="shared" si="0"/>
        <v>674.25</v>
      </c>
      <c r="P38" s="178">
        <f t="shared" si="1"/>
        <v>0</v>
      </c>
      <c r="Q38" s="178">
        <f t="shared" si="2"/>
        <v>134.85000000000002</v>
      </c>
      <c r="R38" s="178">
        <f t="shared" si="3"/>
        <v>224.75</v>
      </c>
      <c r="S38" s="178">
        <f t="shared" si="4"/>
        <v>179.8</v>
      </c>
      <c r="T38" s="178">
        <f t="shared" si="5"/>
        <v>179.8</v>
      </c>
      <c r="U38" s="178">
        <f t="shared" si="6"/>
        <v>224.75</v>
      </c>
      <c r="V38" s="178">
        <f t="shared" si="7"/>
        <v>179.8</v>
      </c>
    </row>
    <row r="39" spans="1:22" ht="57.6">
      <c r="A39" s="180">
        <v>30</v>
      </c>
      <c r="B39" s="174" t="s">
        <v>560</v>
      </c>
      <c r="C39" s="56" t="s">
        <v>303</v>
      </c>
      <c r="D39" s="57" t="s">
        <v>263</v>
      </c>
      <c r="E39" s="57">
        <v>0</v>
      </c>
      <c r="F39" s="57">
        <v>0</v>
      </c>
      <c r="G39" s="57">
        <v>0</v>
      </c>
      <c r="H39" s="57">
        <v>1</v>
      </c>
      <c r="I39" s="57">
        <v>0</v>
      </c>
      <c r="J39" s="57">
        <v>1</v>
      </c>
      <c r="K39" s="57">
        <v>1</v>
      </c>
      <c r="L39" s="57">
        <v>0</v>
      </c>
      <c r="M39" s="173">
        <f t="shared" si="8"/>
        <v>3</v>
      </c>
      <c r="N39" s="236">
        <v>23.09</v>
      </c>
      <c r="O39" s="178">
        <f t="shared" si="0"/>
        <v>0</v>
      </c>
      <c r="P39" s="178">
        <f t="shared" si="1"/>
        <v>0</v>
      </c>
      <c r="Q39" s="178">
        <f t="shared" si="2"/>
        <v>0</v>
      </c>
      <c r="R39" s="178">
        <f t="shared" si="3"/>
        <v>23.09</v>
      </c>
      <c r="S39" s="178">
        <f t="shared" si="4"/>
        <v>0</v>
      </c>
      <c r="T39" s="178">
        <f t="shared" si="5"/>
        <v>23.09</v>
      </c>
      <c r="U39" s="178">
        <f t="shared" si="6"/>
        <v>23.09</v>
      </c>
      <c r="V39" s="178">
        <f t="shared" si="7"/>
        <v>0</v>
      </c>
    </row>
    <row r="40" spans="1:22" ht="57.6">
      <c r="A40" s="180">
        <v>31</v>
      </c>
      <c r="B40" s="170" t="s">
        <v>590</v>
      </c>
      <c r="C40" s="56" t="s">
        <v>304</v>
      </c>
      <c r="D40" s="57" t="s">
        <v>263</v>
      </c>
      <c r="E40" s="173">
        <v>2</v>
      </c>
      <c r="F40" s="173">
        <v>0</v>
      </c>
      <c r="G40" s="173">
        <v>2</v>
      </c>
      <c r="H40" s="173">
        <v>1</v>
      </c>
      <c r="I40" s="173">
        <v>2</v>
      </c>
      <c r="J40" s="173">
        <v>1</v>
      </c>
      <c r="K40" s="173">
        <v>1</v>
      </c>
      <c r="L40" s="173">
        <v>2</v>
      </c>
      <c r="M40" s="173">
        <f t="shared" si="8"/>
        <v>11</v>
      </c>
      <c r="N40" s="175">
        <v>8.31</v>
      </c>
      <c r="O40" s="178">
        <f t="shared" si="0"/>
        <v>16.62</v>
      </c>
      <c r="P40" s="178">
        <f t="shared" si="1"/>
        <v>0</v>
      </c>
      <c r="Q40" s="178">
        <f t="shared" si="2"/>
        <v>16.62</v>
      </c>
      <c r="R40" s="178">
        <f t="shared" si="3"/>
        <v>8.31</v>
      </c>
      <c r="S40" s="178">
        <f t="shared" si="4"/>
        <v>16.62</v>
      </c>
      <c r="T40" s="178">
        <f t="shared" si="5"/>
        <v>8.31</v>
      </c>
      <c r="U40" s="178">
        <f t="shared" si="6"/>
        <v>8.31</v>
      </c>
      <c r="V40" s="178">
        <f t="shared" si="7"/>
        <v>16.62</v>
      </c>
    </row>
    <row r="41" spans="1:22" ht="43.2">
      <c r="A41" s="180">
        <v>32</v>
      </c>
      <c r="B41" s="170" t="s">
        <v>329</v>
      </c>
      <c r="C41" s="56" t="s">
        <v>330</v>
      </c>
      <c r="D41" s="57" t="s">
        <v>263</v>
      </c>
      <c r="E41" s="173">
        <v>24</v>
      </c>
      <c r="F41" s="173">
        <v>2</v>
      </c>
      <c r="G41" s="173">
        <v>4</v>
      </c>
      <c r="H41" s="173">
        <v>3</v>
      </c>
      <c r="I41" s="173">
        <v>2</v>
      </c>
      <c r="J41" s="173">
        <v>6</v>
      </c>
      <c r="K41" s="173">
        <v>4</v>
      </c>
      <c r="L41" s="173">
        <v>4</v>
      </c>
      <c r="M41" s="173">
        <f t="shared" si="8"/>
        <v>49</v>
      </c>
      <c r="N41" s="175">
        <v>88.18</v>
      </c>
      <c r="O41" s="178">
        <f t="shared" ref="O41:O73" si="9">$N41*E41</f>
        <v>2116.3200000000002</v>
      </c>
      <c r="P41" s="178">
        <f t="shared" ref="P41:P73" si="10">$N41*F41</f>
        <v>176.36</v>
      </c>
      <c r="Q41" s="178">
        <f t="shared" ref="Q41:Q73" si="11">$N41*G41</f>
        <v>352.72</v>
      </c>
      <c r="R41" s="178">
        <f t="shared" ref="R41:R73" si="12">$N41*H41</f>
        <v>264.54000000000002</v>
      </c>
      <c r="S41" s="178">
        <f t="shared" ref="S41:S73" si="13">$N41*I41</f>
        <v>176.36</v>
      </c>
      <c r="T41" s="178">
        <f t="shared" ref="T41:T73" si="14">$N41*J41</f>
        <v>529.08000000000004</v>
      </c>
      <c r="U41" s="178">
        <f t="shared" ref="U41:U73" si="15">$N41*K41</f>
        <v>352.72</v>
      </c>
      <c r="V41" s="178">
        <f t="shared" ref="V41:V73" si="16">$N41*L41</f>
        <v>352.72</v>
      </c>
    </row>
    <row r="42" spans="1:22" ht="43.2">
      <c r="A42" s="180">
        <v>33</v>
      </c>
      <c r="B42" s="170" t="s">
        <v>331</v>
      </c>
      <c r="C42" s="56" t="s">
        <v>332</v>
      </c>
      <c r="D42" s="56" t="s">
        <v>263</v>
      </c>
      <c r="E42" s="57">
        <v>24</v>
      </c>
      <c r="F42" s="57">
        <v>0</v>
      </c>
      <c r="G42" s="57">
        <v>0</v>
      </c>
      <c r="H42" s="57">
        <v>2</v>
      </c>
      <c r="I42" s="57">
        <v>1</v>
      </c>
      <c r="J42" s="57">
        <v>1</v>
      </c>
      <c r="K42" s="57">
        <v>1</v>
      </c>
      <c r="L42" s="57">
        <v>2</v>
      </c>
      <c r="M42" s="173">
        <f t="shared" si="8"/>
        <v>31</v>
      </c>
      <c r="N42" s="175">
        <v>75.900000000000006</v>
      </c>
      <c r="O42" s="178">
        <f t="shared" si="9"/>
        <v>1821.6000000000001</v>
      </c>
      <c r="P42" s="178">
        <f t="shared" si="10"/>
        <v>0</v>
      </c>
      <c r="Q42" s="178">
        <f t="shared" si="11"/>
        <v>0</v>
      </c>
      <c r="R42" s="178">
        <f t="shared" si="12"/>
        <v>151.80000000000001</v>
      </c>
      <c r="S42" s="178">
        <f t="shared" si="13"/>
        <v>75.900000000000006</v>
      </c>
      <c r="T42" s="178">
        <f t="shared" si="14"/>
        <v>75.900000000000006</v>
      </c>
      <c r="U42" s="178">
        <f t="shared" si="15"/>
        <v>75.900000000000006</v>
      </c>
      <c r="V42" s="178">
        <f t="shared" si="16"/>
        <v>151.80000000000001</v>
      </c>
    </row>
    <row r="43" spans="1:22" ht="43.2">
      <c r="A43" s="180">
        <v>34</v>
      </c>
      <c r="B43" s="170" t="s">
        <v>591</v>
      </c>
      <c r="C43" s="56" t="s">
        <v>333</v>
      </c>
      <c r="D43" s="57" t="s">
        <v>263</v>
      </c>
      <c r="E43" s="57">
        <v>8</v>
      </c>
      <c r="F43" s="57">
        <v>2</v>
      </c>
      <c r="G43" s="57">
        <v>2</v>
      </c>
      <c r="H43" s="57">
        <v>2</v>
      </c>
      <c r="I43" s="57">
        <v>1</v>
      </c>
      <c r="J43" s="57">
        <v>2</v>
      </c>
      <c r="K43" s="57">
        <v>1</v>
      </c>
      <c r="L43" s="57">
        <v>2</v>
      </c>
      <c r="M43" s="173">
        <f>SUM(E43:L43)</f>
        <v>20</v>
      </c>
      <c r="N43" s="175">
        <v>18.41</v>
      </c>
      <c r="O43" s="178">
        <f t="shared" si="9"/>
        <v>147.28</v>
      </c>
      <c r="P43" s="178">
        <f t="shared" si="10"/>
        <v>36.82</v>
      </c>
      <c r="Q43" s="178">
        <f t="shared" si="11"/>
        <v>36.82</v>
      </c>
      <c r="R43" s="178">
        <f t="shared" si="12"/>
        <v>36.82</v>
      </c>
      <c r="S43" s="178">
        <f t="shared" si="13"/>
        <v>18.41</v>
      </c>
      <c r="T43" s="178">
        <f t="shared" si="14"/>
        <v>36.82</v>
      </c>
      <c r="U43" s="178">
        <f t="shared" si="15"/>
        <v>18.41</v>
      </c>
      <c r="V43" s="178">
        <f t="shared" si="16"/>
        <v>36.82</v>
      </c>
    </row>
    <row r="44" spans="1:22" ht="88.2" customHeight="1">
      <c r="A44" s="180">
        <v>35</v>
      </c>
      <c r="B44" s="307" t="s">
        <v>592</v>
      </c>
      <c r="C44" s="56" t="s">
        <v>593</v>
      </c>
      <c r="D44" s="57" t="s">
        <v>263</v>
      </c>
      <c r="E44" s="57">
        <v>2</v>
      </c>
      <c r="F44" s="57">
        <v>1</v>
      </c>
      <c r="G44" s="57">
        <v>1</v>
      </c>
      <c r="H44" s="57">
        <v>0</v>
      </c>
      <c r="I44" s="57">
        <v>0</v>
      </c>
      <c r="J44" s="57">
        <v>0</v>
      </c>
      <c r="K44" s="57">
        <v>1</v>
      </c>
      <c r="L44" s="57">
        <v>1</v>
      </c>
      <c r="M44" s="173">
        <f>SUM(E44:L44)</f>
        <v>6</v>
      </c>
      <c r="N44" s="175">
        <v>372.18</v>
      </c>
      <c r="O44" s="178">
        <f t="shared" si="9"/>
        <v>744.36</v>
      </c>
      <c r="P44" s="178">
        <f t="shared" si="10"/>
        <v>372.18</v>
      </c>
      <c r="Q44" s="178">
        <f t="shared" si="11"/>
        <v>372.18</v>
      </c>
      <c r="R44" s="178">
        <f t="shared" si="12"/>
        <v>0</v>
      </c>
      <c r="S44" s="178">
        <f t="shared" si="13"/>
        <v>0</v>
      </c>
      <c r="T44" s="178">
        <f t="shared" si="14"/>
        <v>0</v>
      </c>
      <c r="U44" s="178">
        <f t="shared" si="15"/>
        <v>372.18</v>
      </c>
      <c r="V44" s="178">
        <f t="shared" si="16"/>
        <v>372.18</v>
      </c>
    </row>
    <row r="45" spans="1:22" ht="57.6">
      <c r="A45" s="180">
        <v>36</v>
      </c>
      <c r="B45" s="307" t="s">
        <v>595</v>
      </c>
      <c r="C45" s="56" t="s">
        <v>594</v>
      </c>
      <c r="D45" s="57" t="s">
        <v>263</v>
      </c>
      <c r="E45" s="173">
        <v>2</v>
      </c>
      <c r="F45" s="173">
        <v>0</v>
      </c>
      <c r="G45" s="173">
        <v>0</v>
      </c>
      <c r="H45" s="173">
        <v>5</v>
      </c>
      <c r="I45" s="173">
        <v>0</v>
      </c>
      <c r="J45" s="173">
        <v>2</v>
      </c>
      <c r="K45" s="173">
        <v>1</v>
      </c>
      <c r="L45" s="173">
        <v>2</v>
      </c>
      <c r="M45" s="173">
        <f>SUM(E45:L45)</f>
        <v>12</v>
      </c>
      <c r="N45" s="175">
        <v>419.16</v>
      </c>
      <c r="O45" s="178">
        <f t="shared" si="9"/>
        <v>838.32</v>
      </c>
      <c r="P45" s="178">
        <f t="shared" si="10"/>
        <v>0</v>
      </c>
      <c r="Q45" s="178">
        <f t="shared" si="11"/>
        <v>0</v>
      </c>
      <c r="R45" s="178">
        <f t="shared" si="12"/>
        <v>2095.8000000000002</v>
      </c>
      <c r="S45" s="178">
        <f t="shared" si="13"/>
        <v>0</v>
      </c>
      <c r="T45" s="178">
        <f t="shared" si="14"/>
        <v>838.32</v>
      </c>
      <c r="U45" s="178">
        <f t="shared" si="15"/>
        <v>419.16</v>
      </c>
      <c r="V45" s="178">
        <f t="shared" si="16"/>
        <v>838.32</v>
      </c>
    </row>
    <row r="46" spans="1:22" ht="57.6">
      <c r="A46" s="180">
        <v>37</v>
      </c>
      <c r="B46" s="170" t="s">
        <v>596</v>
      </c>
      <c r="C46" s="56" t="s">
        <v>597</v>
      </c>
      <c r="D46" s="57" t="s">
        <v>263</v>
      </c>
      <c r="E46" s="57">
        <v>0</v>
      </c>
      <c r="F46" s="57">
        <v>0</v>
      </c>
      <c r="G46" s="57">
        <v>1</v>
      </c>
      <c r="H46" s="57">
        <v>0</v>
      </c>
      <c r="I46" s="57">
        <v>0</v>
      </c>
      <c r="J46" s="57">
        <v>0</v>
      </c>
      <c r="K46" s="57">
        <v>1</v>
      </c>
      <c r="L46" s="57">
        <v>0</v>
      </c>
      <c r="M46" s="173">
        <f>SUM(E46:L46)</f>
        <v>2</v>
      </c>
      <c r="N46" s="175">
        <v>33.83</v>
      </c>
      <c r="O46" s="178">
        <f t="shared" si="9"/>
        <v>0</v>
      </c>
      <c r="P46" s="178">
        <f t="shared" si="10"/>
        <v>0</v>
      </c>
      <c r="Q46" s="178">
        <f t="shared" si="11"/>
        <v>33.83</v>
      </c>
      <c r="R46" s="178">
        <f t="shared" si="12"/>
        <v>0</v>
      </c>
      <c r="S46" s="178">
        <f t="shared" si="13"/>
        <v>0</v>
      </c>
      <c r="T46" s="178">
        <f t="shared" si="14"/>
        <v>0</v>
      </c>
      <c r="U46" s="178">
        <f t="shared" si="15"/>
        <v>33.83</v>
      </c>
      <c r="V46" s="178">
        <f t="shared" si="16"/>
        <v>0</v>
      </c>
    </row>
    <row r="47" spans="1:22" ht="43.2">
      <c r="A47" s="180">
        <v>38</v>
      </c>
      <c r="B47" s="174" t="s">
        <v>561</v>
      </c>
      <c r="C47" s="56" t="s">
        <v>305</v>
      </c>
      <c r="D47" s="57" t="s">
        <v>263</v>
      </c>
      <c r="E47" s="57">
        <v>0</v>
      </c>
      <c r="F47" s="57">
        <v>0</v>
      </c>
      <c r="G47" s="57">
        <v>0</v>
      </c>
      <c r="H47" s="57">
        <v>0</v>
      </c>
      <c r="I47" s="57">
        <v>0</v>
      </c>
      <c r="J47" s="57">
        <v>0</v>
      </c>
      <c r="K47" s="57">
        <v>1</v>
      </c>
      <c r="L47" s="57">
        <v>0</v>
      </c>
      <c r="M47" s="173">
        <f t="shared" si="8"/>
        <v>1</v>
      </c>
      <c r="N47" s="236">
        <v>18.11</v>
      </c>
      <c r="O47" s="178">
        <f t="shared" si="9"/>
        <v>0</v>
      </c>
      <c r="P47" s="178">
        <f t="shared" si="10"/>
        <v>0</v>
      </c>
      <c r="Q47" s="178">
        <f t="shared" si="11"/>
        <v>0</v>
      </c>
      <c r="R47" s="178">
        <f t="shared" si="12"/>
        <v>0</v>
      </c>
      <c r="S47" s="178">
        <f t="shared" si="13"/>
        <v>0</v>
      </c>
      <c r="T47" s="178">
        <f t="shared" si="14"/>
        <v>0</v>
      </c>
      <c r="U47" s="178">
        <f t="shared" si="15"/>
        <v>18.11</v>
      </c>
      <c r="V47" s="178">
        <f t="shared" si="16"/>
        <v>0</v>
      </c>
    </row>
    <row r="48" spans="1:22" ht="58.2" customHeight="1">
      <c r="A48" s="180">
        <v>39</v>
      </c>
      <c r="B48" s="170" t="s">
        <v>598</v>
      </c>
      <c r="C48" s="56" t="s">
        <v>599</v>
      </c>
      <c r="D48" s="57" t="s">
        <v>263</v>
      </c>
      <c r="E48" s="173">
        <v>10</v>
      </c>
      <c r="F48" s="173">
        <v>1</v>
      </c>
      <c r="G48" s="173">
        <v>7</v>
      </c>
      <c r="H48" s="173">
        <v>10</v>
      </c>
      <c r="I48" s="173">
        <v>0</v>
      </c>
      <c r="J48" s="173">
        <v>0</v>
      </c>
      <c r="K48" s="173">
        <v>10</v>
      </c>
      <c r="L48" s="173">
        <v>10</v>
      </c>
      <c r="M48" s="173">
        <f>SUM(E48:L48)</f>
        <v>48</v>
      </c>
      <c r="N48" s="175">
        <v>16.91</v>
      </c>
      <c r="O48" s="178">
        <f t="shared" si="9"/>
        <v>169.1</v>
      </c>
      <c r="P48" s="178">
        <f t="shared" si="10"/>
        <v>16.91</v>
      </c>
      <c r="Q48" s="178">
        <f t="shared" si="11"/>
        <v>118.37</v>
      </c>
      <c r="R48" s="178">
        <f t="shared" si="12"/>
        <v>169.1</v>
      </c>
      <c r="S48" s="178">
        <f t="shared" si="13"/>
        <v>0</v>
      </c>
      <c r="T48" s="178">
        <f t="shared" si="14"/>
        <v>0</v>
      </c>
      <c r="U48" s="178">
        <f t="shared" si="15"/>
        <v>169.1</v>
      </c>
      <c r="V48" s="178">
        <f t="shared" si="16"/>
        <v>169.1</v>
      </c>
    </row>
    <row r="49" spans="1:22" ht="54.6" customHeight="1">
      <c r="A49" s="180">
        <v>40</v>
      </c>
      <c r="B49" s="307" t="s">
        <v>600</v>
      </c>
      <c r="C49" s="56" t="s">
        <v>601</v>
      </c>
      <c r="D49" s="57" t="s">
        <v>263</v>
      </c>
      <c r="E49" s="57">
        <v>0</v>
      </c>
      <c r="F49" s="57">
        <v>0</v>
      </c>
      <c r="G49" s="57">
        <v>0</v>
      </c>
      <c r="H49" s="57">
        <v>0</v>
      </c>
      <c r="I49" s="57">
        <v>0</v>
      </c>
      <c r="J49" s="57">
        <v>0</v>
      </c>
      <c r="K49" s="57">
        <v>1</v>
      </c>
      <c r="L49" s="57">
        <v>2</v>
      </c>
      <c r="M49" s="173">
        <f t="shared" si="8"/>
        <v>3</v>
      </c>
      <c r="N49" s="175">
        <v>71.55</v>
      </c>
      <c r="O49" s="178">
        <f t="shared" si="9"/>
        <v>0</v>
      </c>
      <c r="P49" s="178">
        <f t="shared" si="10"/>
        <v>0</v>
      </c>
      <c r="Q49" s="178">
        <f t="shared" si="11"/>
        <v>0</v>
      </c>
      <c r="R49" s="178">
        <f t="shared" si="12"/>
        <v>0</v>
      </c>
      <c r="S49" s="178">
        <f t="shared" si="13"/>
        <v>0</v>
      </c>
      <c r="T49" s="178">
        <f t="shared" si="14"/>
        <v>0</v>
      </c>
      <c r="U49" s="178">
        <f t="shared" si="15"/>
        <v>71.55</v>
      </c>
      <c r="V49" s="178">
        <f t="shared" si="16"/>
        <v>143.1</v>
      </c>
    </row>
    <row r="50" spans="1:22" ht="61.8" customHeight="1">
      <c r="A50" s="180">
        <v>41</v>
      </c>
      <c r="B50" s="170" t="s">
        <v>602</v>
      </c>
      <c r="C50" s="56" t="s">
        <v>603</v>
      </c>
      <c r="D50" s="57" t="s">
        <v>263</v>
      </c>
      <c r="E50" s="57">
        <v>30</v>
      </c>
      <c r="F50" s="57">
        <v>2</v>
      </c>
      <c r="G50" s="57">
        <v>9</v>
      </c>
      <c r="H50" s="57">
        <v>10</v>
      </c>
      <c r="I50" s="57">
        <v>8</v>
      </c>
      <c r="J50" s="57">
        <v>4</v>
      </c>
      <c r="K50" s="57">
        <v>4</v>
      </c>
      <c r="L50" s="57">
        <v>10</v>
      </c>
      <c r="M50" s="173">
        <f>SUM(E50:L50)</f>
        <v>77</v>
      </c>
      <c r="N50" s="175">
        <v>126.91</v>
      </c>
      <c r="O50" s="178">
        <f t="shared" si="9"/>
        <v>3807.2999999999997</v>
      </c>
      <c r="P50" s="178">
        <f t="shared" si="10"/>
        <v>253.82</v>
      </c>
      <c r="Q50" s="178">
        <f t="shared" si="11"/>
        <v>1142.19</v>
      </c>
      <c r="R50" s="178">
        <f t="shared" si="12"/>
        <v>1269.0999999999999</v>
      </c>
      <c r="S50" s="178">
        <f t="shared" si="13"/>
        <v>1015.28</v>
      </c>
      <c r="T50" s="178">
        <f t="shared" si="14"/>
        <v>507.64</v>
      </c>
      <c r="U50" s="178">
        <f t="shared" si="15"/>
        <v>507.64</v>
      </c>
      <c r="V50" s="178">
        <f t="shared" si="16"/>
        <v>1269.0999999999999</v>
      </c>
    </row>
    <row r="51" spans="1:22" ht="57.6">
      <c r="A51" s="180">
        <v>42</v>
      </c>
      <c r="B51" s="170" t="s">
        <v>502</v>
      </c>
      <c r="C51" s="56" t="s">
        <v>306</v>
      </c>
      <c r="D51" s="57" t="s">
        <v>263</v>
      </c>
      <c r="E51" s="57">
        <v>0</v>
      </c>
      <c r="F51" s="57">
        <v>0</v>
      </c>
      <c r="G51" s="57">
        <v>2</v>
      </c>
      <c r="H51" s="57">
        <v>0</v>
      </c>
      <c r="I51" s="57">
        <v>0</v>
      </c>
      <c r="J51" s="57">
        <v>0</v>
      </c>
      <c r="K51" s="57">
        <v>1</v>
      </c>
      <c r="L51" s="57">
        <v>2</v>
      </c>
      <c r="M51" s="173">
        <f t="shared" si="8"/>
        <v>5</v>
      </c>
      <c r="N51" s="175">
        <v>43.16</v>
      </c>
      <c r="O51" s="178">
        <f t="shared" si="9"/>
        <v>0</v>
      </c>
      <c r="P51" s="178">
        <f t="shared" si="10"/>
        <v>0</v>
      </c>
      <c r="Q51" s="178">
        <f t="shared" si="11"/>
        <v>86.32</v>
      </c>
      <c r="R51" s="178">
        <f t="shared" si="12"/>
        <v>0</v>
      </c>
      <c r="S51" s="178">
        <f t="shared" si="13"/>
        <v>0</v>
      </c>
      <c r="T51" s="178">
        <f t="shared" si="14"/>
        <v>0</v>
      </c>
      <c r="U51" s="178">
        <f t="shared" si="15"/>
        <v>43.16</v>
      </c>
      <c r="V51" s="178">
        <f t="shared" si="16"/>
        <v>86.32</v>
      </c>
    </row>
    <row r="52" spans="1:22" ht="28.8">
      <c r="A52" s="180">
        <v>43</v>
      </c>
      <c r="B52" s="174" t="s">
        <v>503</v>
      </c>
      <c r="C52" s="56" t="s">
        <v>604</v>
      </c>
      <c r="D52" s="173" t="s">
        <v>263</v>
      </c>
      <c r="E52" s="173">
        <v>0</v>
      </c>
      <c r="F52" s="173">
        <v>0</v>
      </c>
      <c r="G52" s="173">
        <v>0</v>
      </c>
      <c r="H52" s="173">
        <v>2</v>
      </c>
      <c r="I52" s="173">
        <v>0</v>
      </c>
      <c r="J52" s="173">
        <v>2</v>
      </c>
      <c r="K52" s="173">
        <v>1</v>
      </c>
      <c r="L52" s="173">
        <v>0</v>
      </c>
      <c r="M52" s="173">
        <f t="shared" si="8"/>
        <v>5</v>
      </c>
      <c r="N52" s="236">
        <v>19.95</v>
      </c>
      <c r="O52" s="178">
        <f t="shared" si="9"/>
        <v>0</v>
      </c>
      <c r="P52" s="178">
        <f t="shared" si="10"/>
        <v>0</v>
      </c>
      <c r="Q52" s="178">
        <f t="shared" si="11"/>
        <v>0</v>
      </c>
      <c r="R52" s="178">
        <f t="shared" si="12"/>
        <v>39.9</v>
      </c>
      <c r="S52" s="178">
        <f t="shared" si="13"/>
        <v>0</v>
      </c>
      <c r="T52" s="178">
        <f t="shared" si="14"/>
        <v>39.9</v>
      </c>
      <c r="U52" s="178">
        <f t="shared" si="15"/>
        <v>19.95</v>
      </c>
      <c r="V52" s="178">
        <f t="shared" si="16"/>
        <v>0</v>
      </c>
    </row>
    <row r="53" spans="1:22" ht="52.8" customHeight="1">
      <c r="A53" s="180">
        <v>44</v>
      </c>
      <c r="B53" s="170" t="s">
        <v>606</v>
      </c>
      <c r="C53" s="56" t="s">
        <v>605</v>
      </c>
      <c r="D53" s="57" t="s">
        <v>263</v>
      </c>
      <c r="E53" s="57">
        <v>2</v>
      </c>
      <c r="F53" s="57">
        <v>0</v>
      </c>
      <c r="G53" s="57">
        <v>0</v>
      </c>
      <c r="H53" s="57">
        <v>1</v>
      </c>
      <c r="I53" s="57">
        <v>1</v>
      </c>
      <c r="J53" s="57">
        <v>2</v>
      </c>
      <c r="K53" s="57">
        <v>0</v>
      </c>
      <c r="L53" s="57">
        <v>0</v>
      </c>
      <c r="M53" s="173">
        <f t="shared" si="8"/>
        <v>6</v>
      </c>
      <c r="N53" s="175">
        <v>628</v>
      </c>
      <c r="O53" s="178">
        <f t="shared" si="9"/>
        <v>1256</v>
      </c>
      <c r="P53" s="178">
        <f t="shared" si="10"/>
        <v>0</v>
      </c>
      <c r="Q53" s="178">
        <f t="shared" si="11"/>
        <v>0</v>
      </c>
      <c r="R53" s="178">
        <f t="shared" si="12"/>
        <v>628</v>
      </c>
      <c r="S53" s="178">
        <f t="shared" si="13"/>
        <v>628</v>
      </c>
      <c r="T53" s="178">
        <f t="shared" si="14"/>
        <v>1256</v>
      </c>
      <c r="U53" s="178">
        <f t="shared" si="15"/>
        <v>0</v>
      </c>
      <c r="V53" s="178">
        <f t="shared" si="16"/>
        <v>0</v>
      </c>
    </row>
    <row r="54" spans="1:22" ht="43.2">
      <c r="A54" s="180">
        <v>45</v>
      </c>
      <c r="B54" s="170" t="s">
        <v>607</v>
      </c>
      <c r="C54" s="56" t="s">
        <v>608</v>
      </c>
      <c r="D54" s="57" t="s">
        <v>263</v>
      </c>
      <c r="E54" s="57">
        <v>0</v>
      </c>
      <c r="F54" s="57">
        <v>0</v>
      </c>
      <c r="G54" s="57">
        <v>1</v>
      </c>
      <c r="H54" s="57">
        <v>0</v>
      </c>
      <c r="I54" s="57">
        <v>0</v>
      </c>
      <c r="J54" s="57">
        <v>0</v>
      </c>
      <c r="K54" s="57">
        <v>1</v>
      </c>
      <c r="L54" s="57">
        <v>0</v>
      </c>
      <c r="M54" s="173">
        <f t="shared" si="8"/>
        <v>2</v>
      </c>
      <c r="N54" s="175">
        <v>196.79999999999998</v>
      </c>
      <c r="O54" s="178">
        <f t="shared" si="9"/>
        <v>0</v>
      </c>
      <c r="P54" s="178">
        <f t="shared" si="10"/>
        <v>0</v>
      </c>
      <c r="Q54" s="178">
        <f t="shared" si="11"/>
        <v>196.79999999999998</v>
      </c>
      <c r="R54" s="178">
        <f t="shared" si="12"/>
        <v>0</v>
      </c>
      <c r="S54" s="178">
        <f t="shared" si="13"/>
        <v>0</v>
      </c>
      <c r="T54" s="178">
        <f t="shared" si="14"/>
        <v>0</v>
      </c>
      <c r="U54" s="178">
        <f t="shared" si="15"/>
        <v>196.79999999999998</v>
      </c>
      <c r="V54" s="178">
        <f t="shared" si="16"/>
        <v>0</v>
      </c>
    </row>
    <row r="55" spans="1:22" ht="57.6">
      <c r="A55" s="180">
        <v>46</v>
      </c>
      <c r="B55" s="170" t="s">
        <v>300</v>
      </c>
      <c r="C55" s="56" t="s">
        <v>609</v>
      </c>
      <c r="D55" s="57" t="s">
        <v>263</v>
      </c>
      <c r="E55" s="173">
        <v>6</v>
      </c>
      <c r="F55" s="173">
        <v>0</v>
      </c>
      <c r="G55" s="173">
        <v>2</v>
      </c>
      <c r="H55" s="173">
        <v>4</v>
      </c>
      <c r="I55" s="173">
        <v>5</v>
      </c>
      <c r="J55" s="173">
        <v>4</v>
      </c>
      <c r="K55" s="173">
        <v>1</v>
      </c>
      <c r="L55" s="173">
        <v>0</v>
      </c>
      <c r="M55" s="173">
        <f>SUM(E55:L55)</f>
        <v>22</v>
      </c>
      <c r="N55" s="175">
        <v>34.89</v>
      </c>
      <c r="O55" s="178">
        <f t="shared" si="9"/>
        <v>209.34</v>
      </c>
      <c r="P55" s="178">
        <f t="shared" si="10"/>
        <v>0</v>
      </c>
      <c r="Q55" s="178">
        <f t="shared" si="11"/>
        <v>69.78</v>
      </c>
      <c r="R55" s="178">
        <f t="shared" si="12"/>
        <v>139.56</v>
      </c>
      <c r="S55" s="178">
        <f t="shared" si="13"/>
        <v>174.45</v>
      </c>
      <c r="T55" s="178">
        <f t="shared" si="14"/>
        <v>139.56</v>
      </c>
      <c r="U55" s="178">
        <f t="shared" si="15"/>
        <v>34.89</v>
      </c>
      <c r="V55" s="178">
        <f t="shared" si="16"/>
        <v>0</v>
      </c>
    </row>
    <row r="56" spans="1:22" ht="57.6">
      <c r="A56" s="180">
        <v>47</v>
      </c>
      <c r="B56" s="170" t="s">
        <v>611</v>
      </c>
      <c r="C56" s="56" t="s">
        <v>610</v>
      </c>
      <c r="D56" s="57" t="s">
        <v>263</v>
      </c>
      <c r="E56" s="173">
        <v>12</v>
      </c>
      <c r="F56" s="173">
        <v>0</v>
      </c>
      <c r="G56" s="173">
        <v>6</v>
      </c>
      <c r="H56" s="173">
        <v>8</v>
      </c>
      <c r="I56" s="173">
        <v>10</v>
      </c>
      <c r="J56" s="173">
        <v>8</v>
      </c>
      <c r="K56" s="173">
        <v>2</v>
      </c>
      <c r="L56" s="173">
        <v>0</v>
      </c>
      <c r="M56" s="173">
        <f>SUM(E56:L56)</f>
        <v>46</v>
      </c>
      <c r="N56" s="175">
        <v>18.95</v>
      </c>
      <c r="O56" s="178">
        <f t="shared" si="9"/>
        <v>227.39999999999998</v>
      </c>
      <c r="P56" s="178">
        <f t="shared" si="10"/>
        <v>0</v>
      </c>
      <c r="Q56" s="178">
        <f t="shared" si="11"/>
        <v>113.69999999999999</v>
      </c>
      <c r="R56" s="178">
        <f t="shared" si="12"/>
        <v>151.6</v>
      </c>
      <c r="S56" s="178">
        <f t="shared" si="13"/>
        <v>189.5</v>
      </c>
      <c r="T56" s="178">
        <f t="shared" si="14"/>
        <v>151.6</v>
      </c>
      <c r="U56" s="178">
        <f t="shared" si="15"/>
        <v>37.9</v>
      </c>
      <c r="V56" s="178">
        <f t="shared" si="16"/>
        <v>0</v>
      </c>
    </row>
    <row r="57" spans="1:22" ht="43.2">
      <c r="A57" s="180">
        <v>48</v>
      </c>
      <c r="B57" s="174" t="s">
        <v>507</v>
      </c>
      <c r="C57" s="56" t="s">
        <v>612</v>
      </c>
      <c r="D57" s="57" t="s">
        <v>263</v>
      </c>
      <c r="E57" s="57">
        <v>16</v>
      </c>
      <c r="F57" s="57">
        <v>1</v>
      </c>
      <c r="G57" s="57">
        <v>2</v>
      </c>
      <c r="H57" s="57">
        <v>4</v>
      </c>
      <c r="I57" s="57">
        <v>2</v>
      </c>
      <c r="J57" s="57">
        <v>2</v>
      </c>
      <c r="K57" s="57">
        <v>3</v>
      </c>
      <c r="L57" s="57">
        <v>2</v>
      </c>
      <c r="M57" s="173">
        <f t="shared" si="8"/>
        <v>32</v>
      </c>
      <c r="N57" s="236">
        <v>111.12</v>
      </c>
      <c r="O57" s="178">
        <f t="shared" si="9"/>
        <v>1777.92</v>
      </c>
      <c r="P57" s="178">
        <f t="shared" si="10"/>
        <v>111.12</v>
      </c>
      <c r="Q57" s="178">
        <f t="shared" si="11"/>
        <v>222.24</v>
      </c>
      <c r="R57" s="178">
        <f t="shared" si="12"/>
        <v>444.48</v>
      </c>
      <c r="S57" s="178">
        <f t="shared" si="13"/>
        <v>222.24</v>
      </c>
      <c r="T57" s="178">
        <f t="shared" si="14"/>
        <v>222.24</v>
      </c>
      <c r="U57" s="178">
        <f t="shared" si="15"/>
        <v>333.36</v>
      </c>
      <c r="V57" s="178">
        <f t="shared" si="16"/>
        <v>222.24</v>
      </c>
    </row>
    <row r="58" spans="1:22" s="297" customFormat="1" ht="28.8">
      <c r="A58" s="180">
        <v>49</v>
      </c>
      <c r="B58" s="170" t="s">
        <v>308</v>
      </c>
      <c r="C58" s="197" t="s">
        <v>613</v>
      </c>
      <c r="D58" s="173" t="s">
        <v>263</v>
      </c>
      <c r="E58" s="173">
        <v>16</v>
      </c>
      <c r="F58" s="173">
        <v>1</v>
      </c>
      <c r="G58" s="173">
        <v>4</v>
      </c>
      <c r="H58" s="173">
        <v>12</v>
      </c>
      <c r="I58" s="173">
        <v>5</v>
      </c>
      <c r="J58" s="173">
        <v>10</v>
      </c>
      <c r="K58" s="173">
        <v>8</v>
      </c>
      <c r="L58" s="173">
        <v>10</v>
      </c>
      <c r="M58" s="173">
        <f t="shared" si="8"/>
        <v>66</v>
      </c>
      <c r="N58" s="175">
        <v>6.17</v>
      </c>
      <c r="O58" s="178">
        <f t="shared" si="9"/>
        <v>98.72</v>
      </c>
      <c r="P58" s="178">
        <f t="shared" si="10"/>
        <v>6.17</v>
      </c>
      <c r="Q58" s="178">
        <f t="shared" si="11"/>
        <v>24.68</v>
      </c>
      <c r="R58" s="178">
        <f t="shared" si="12"/>
        <v>74.039999999999992</v>
      </c>
      <c r="S58" s="178">
        <f t="shared" si="13"/>
        <v>30.85</v>
      </c>
      <c r="T58" s="178">
        <f t="shared" si="14"/>
        <v>61.7</v>
      </c>
      <c r="U58" s="178">
        <f t="shared" si="15"/>
        <v>49.36</v>
      </c>
      <c r="V58" s="178">
        <f t="shared" si="16"/>
        <v>61.7</v>
      </c>
    </row>
    <row r="59" spans="1:22" ht="57.6">
      <c r="A59" s="180">
        <v>50</v>
      </c>
      <c r="B59" s="174" t="s">
        <v>309</v>
      </c>
      <c r="C59" s="56" t="s">
        <v>614</v>
      </c>
      <c r="D59" s="57" t="s">
        <v>263</v>
      </c>
      <c r="E59" s="57">
        <v>0</v>
      </c>
      <c r="F59" s="57">
        <v>0</v>
      </c>
      <c r="G59" s="57">
        <v>0</v>
      </c>
      <c r="H59" s="57">
        <v>2</v>
      </c>
      <c r="I59" s="57">
        <v>0</v>
      </c>
      <c r="J59" s="57">
        <v>1</v>
      </c>
      <c r="K59" s="57">
        <v>1</v>
      </c>
      <c r="L59" s="57">
        <v>0</v>
      </c>
      <c r="M59" s="173">
        <f t="shared" si="8"/>
        <v>4</v>
      </c>
      <c r="N59" s="236">
        <v>33.64</v>
      </c>
      <c r="O59" s="178">
        <f t="shared" si="9"/>
        <v>0</v>
      </c>
      <c r="P59" s="178">
        <f t="shared" si="10"/>
        <v>0</v>
      </c>
      <c r="Q59" s="178">
        <f t="shared" si="11"/>
        <v>0</v>
      </c>
      <c r="R59" s="178">
        <f t="shared" si="12"/>
        <v>67.28</v>
      </c>
      <c r="S59" s="178">
        <f t="shared" si="13"/>
        <v>0</v>
      </c>
      <c r="T59" s="178">
        <f t="shared" si="14"/>
        <v>33.64</v>
      </c>
      <c r="U59" s="178">
        <f t="shared" si="15"/>
        <v>33.64</v>
      </c>
      <c r="V59" s="178">
        <f t="shared" si="16"/>
        <v>0</v>
      </c>
    </row>
    <row r="60" spans="1:22" ht="100.8">
      <c r="A60" s="180">
        <v>51</v>
      </c>
      <c r="B60" s="170" t="s">
        <v>616</v>
      </c>
      <c r="C60" s="56" t="s">
        <v>615</v>
      </c>
      <c r="D60" s="57" t="s">
        <v>263</v>
      </c>
      <c r="E60" s="57">
        <v>16</v>
      </c>
      <c r="F60" s="57">
        <v>0</v>
      </c>
      <c r="G60" s="57">
        <v>2</v>
      </c>
      <c r="H60" s="57">
        <v>4</v>
      </c>
      <c r="I60" s="57">
        <v>2</v>
      </c>
      <c r="J60" s="57">
        <v>0</v>
      </c>
      <c r="K60" s="57">
        <v>2</v>
      </c>
      <c r="L60" s="57">
        <v>2</v>
      </c>
      <c r="M60" s="173">
        <f t="shared" si="8"/>
        <v>28</v>
      </c>
      <c r="N60" s="175">
        <v>36.57</v>
      </c>
      <c r="O60" s="178">
        <f t="shared" si="9"/>
        <v>585.12</v>
      </c>
      <c r="P60" s="178">
        <f t="shared" si="10"/>
        <v>0</v>
      </c>
      <c r="Q60" s="178">
        <f t="shared" si="11"/>
        <v>73.14</v>
      </c>
      <c r="R60" s="178">
        <f t="shared" si="12"/>
        <v>146.28</v>
      </c>
      <c r="S60" s="178">
        <f t="shared" si="13"/>
        <v>73.14</v>
      </c>
      <c r="T60" s="178">
        <f t="shared" si="14"/>
        <v>0</v>
      </c>
      <c r="U60" s="178">
        <f t="shared" si="15"/>
        <v>73.14</v>
      </c>
      <c r="V60" s="178">
        <f t="shared" si="16"/>
        <v>73.14</v>
      </c>
    </row>
    <row r="61" spans="1:22" ht="43.2">
      <c r="A61" s="180">
        <v>52</v>
      </c>
      <c r="B61" s="174" t="s">
        <v>618</v>
      </c>
      <c r="C61" s="56" t="s">
        <v>617</v>
      </c>
      <c r="D61" s="57" t="s">
        <v>263</v>
      </c>
      <c r="E61" s="57">
        <v>0</v>
      </c>
      <c r="F61" s="57">
        <v>0</v>
      </c>
      <c r="G61" s="57">
        <v>0</v>
      </c>
      <c r="H61" s="57">
        <v>0</v>
      </c>
      <c r="I61" s="57">
        <v>0</v>
      </c>
      <c r="J61" s="57">
        <v>0</v>
      </c>
      <c r="K61" s="57">
        <v>0</v>
      </c>
      <c r="L61" s="57">
        <v>2</v>
      </c>
      <c r="M61" s="173">
        <f>SUM(E61:L61)</f>
        <v>2</v>
      </c>
      <c r="N61" s="175">
        <v>1.75</v>
      </c>
      <c r="O61" s="178">
        <f t="shared" si="9"/>
        <v>0</v>
      </c>
      <c r="P61" s="178">
        <f t="shared" si="10"/>
        <v>0</v>
      </c>
      <c r="Q61" s="178">
        <f t="shared" si="11"/>
        <v>0</v>
      </c>
      <c r="R61" s="178">
        <f t="shared" si="12"/>
        <v>0</v>
      </c>
      <c r="S61" s="178">
        <f t="shared" si="13"/>
        <v>0</v>
      </c>
      <c r="T61" s="178">
        <f t="shared" si="14"/>
        <v>0</v>
      </c>
      <c r="U61" s="178">
        <f t="shared" si="15"/>
        <v>0</v>
      </c>
      <c r="V61" s="178">
        <f t="shared" si="16"/>
        <v>3.5</v>
      </c>
    </row>
    <row r="62" spans="1:22" ht="57.6">
      <c r="A62" s="180">
        <v>53</v>
      </c>
      <c r="B62" s="307" t="s">
        <v>621</v>
      </c>
      <c r="C62" s="197" t="s">
        <v>619</v>
      </c>
      <c r="D62" s="173" t="s">
        <v>263</v>
      </c>
      <c r="E62" s="173">
        <v>48</v>
      </c>
      <c r="F62" s="173">
        <v>1</v>
      </c>
      <c r="G62" s="173">
        <v>6</v>
      </c>
      <c r="H62" s="173">
        <v>25</v>
      </c>
      <c r="I62" s="173">
        <v>6</v>
      </c>
      <c r="J62" s="173">
        <v>25</v>
      </c>
      <c r="K62" s="173">
        <v>20</v>
      </c>
      <c r="L62" s="173">
        <v>20</v>
      </c>
      <c r="M62" s="173">
        <f>SUM(E62:L62)</f>
        <v>151</v>
      </c>
      <c r="N62" s="175">
        <v>8.1300000000000008</v>
      </c>
      <c r="O62" s="178">
        <f t="shared" si="9"/>
        <v>390.24</v>
      </c>
      <c r="P62" s="178">
        <f t="shared" si="10"/>
        <v>8.1300000000000008</v>
      </c>
      <c r="Q62" s="178">
        <f t="shared" si="11"/>
        <v>48.78</v>
      </c>
      <c r="R62" s="178">
        <f t="shared" si="12"/>
        <v>203.25000000000003</v>
      </c>
      <c r="S62" s="178">
        <f t="shared" si="13"/>
        <v>48.78</v>
      </c>
      <c r="T62" s="178">
        <f t="shared" si="14"/>
        <v>203.25000000000003</v>
      </c>
      <c r="U62" s="178">
        <f t="shared" si="15"/>
        <v>162.60000000000002</v>
      </c>
      <c r="V62" s="178">
        <f t="shared" si="16"/>
        <v>162.60000000000002</v>
      </c>
    </row>
    <row r="63" spans="1:22" ht="57.6">
      <c r="A63" s="180">
        <v>54</v>
      </c>
      <c r="B63" s="170" t="s">
        <v>622</v>
      </c>
      <c r="C63" s="56" t="s">
        <v>620</v>
      </c>
      <c r="D63" s="57" t="s">
        <v>263</v>
      </c>
      <c r="E63" s="173">
        <v>48</v>
      </c>
      <c r="F63" s="173">
        <v>1</v>
      </c>
      <c r="G63" s="173">
        <v>4</v>
      </c>
      <c r="H63" s="173">
        <v>24</v>
      </c>
      <c r="I63" s="173">
        <v>4</v>
      </c>
      <c r="J63" s="173">
        <v>30</v>
      </c>
      <c r="K63" s="173">
        <v>20</v>
      </c>
      <c r="L63" s="173">
        <v>0</v>
      </c>
      <c r="M63" s="173">
        <f>SUM(E63:L63)</f>
        <v>131</v>
      </c>
      <c r="N63" s="175">
        <v>9.25</v>
      </c>
      <c r="O63" s="178">
        <f t="shared" si="9"/>
        <v>444</v>
      </c>
      <c r="P63" s="178">
        <f t="shared" si="10"/>
        <v>9.25</v>
      </c>
      <c r="Q63" s="178">
        <f t="shared" si="11"/>
        <v>37</v>
      </c>
      <c r="R63" s="178">
        <f t="shared" si="12"/>
        <v>222</v>
      </c>
      <c r="S63" s="178">
        <f t="shared" si="13"/>
        <v>37</v>
      </c>
      <c r="T63" s="178">
        <f t="shared" si="14"/>
        <v>277.5</v>
      </c>
      <c r="U63" s="178">
        <f t="shared" si="15"/>
        <v>185</v>
      </c>
      <c r="V63" s="178">
        <f t="shared" si="16"/>
        <v>0</v>
      </c>
    </row>
    <row r="64" spans="1:22" ht="57.6">
      <c r="A64" s="180">
        <v>55</v>
      </c>
      <c r="B64" s="307" t="s">
        <v>310</v>
      </c>
      <c r="C64" s="197" t="s">
        <v>311</v>
      </c>
      <c r="D64" s="173" t="s">
        <v>263</v>
      </c>
      <c r="E64" s="173">
        <v>52</v>
      </c>
      <c r="F64" s="173">
        <v>1</v>
      </c>
      <c r="G64" s="173">
        <v>8</v>
      </c>
      <c r="H64" s="173">
        <v>24</v>
      </c>
      <c r="I64" s="173">
        <v>7</v>
      </c>
      <c r="J64" s="173">
        <v>19</v>
      </c>
      <c r="K64" s="173">
        <v>21</v>
      </c>
      <c r="L64" s="173">
        <v>26</v>
      </c>
      <c r="M64" s="173">
        <f>SUM(E64:L64)</f>
        <v>158</v>
      </c>
      <c r="N64" s="175">
        <v>17.02</v>
      </c>
      <c r="O64" s="178">
        <f t="shared" si="9"/>
        <v>885.04</v>
      </c>
      <c r="P64" s="178">
        <f t="shared" si="10"/>
        <v>17.02</v>
      </c>
      <c r="Q64" s="178">
        <f t="shared" si="11"/>
        <v>136.16</v>
      </c>
      <c r="R64" s="178">
        <f t="shared" si="12"/>
        <v>408.48</v>
      </c>
      <c r="S64" s="178">
        <f t="shared" si="13"/>
        <v>119.14</v>
      </c>
      <c r="T64" s="178">
        <f t="shared" si="14"/>
        <v>323.38</v>
      </c>
      <c r="U64" s="178">
        <f t="shared" si="15"/>
        <v>357.42</v>
      </c>
      <c r="V64" s="178">
        <f t="shared" si="16"/>
        <v>442.52</v>
      </c>
    </row>
    <row r="65" spans="1:22" ht="43.2">
      <c r="A65" s="180">
        <v>56</v>
      </c>
      <c r="B65" s="174" t="s">
        <v>623</v>
      </c>
      <c r="C65" s="56" t="s">
        <v>624</v>
      </c>
      <c r="D65" s="57" t="s">
        <v>263</v>
      </c>
      <c r="E65" s="57">
        <v>12</v>
      </c>
      <c r="F65" s="57">
        <v>1</v>
      </c>
      <c r="G65" s="57">
        <v>2</v>
      </c>
      <c r="H65" s="57">
        <v>4</v>
      </c>
      <c r="I65" s="57">
        <v>0</v>
      </c>
      <c r="J65" s="57">
        <v>0</v>
      </c>
      <c r="K65" s="57">
        <v>0</v>
      </c>
      <c r="L65" s="57">
        <v>6</v>
      </c>
      <c r="M65" s="173">
        <f t="shared" si="8"/>
        <v>25</v>
      </c>
      <c r="N65" s="236">
        <v>43.29</v>
      </c>
      <c r="O65" s="178">
        <f t="shared" si="9"/>
        <v>519.48</v>
      </c>
      <c r="P65" s="178">
        <f t="shared" si="10"/>
        <v>43.29</v>
      </c>
      <c r="Q65" s="178">
        <f t="shared" si="11"/>
        <v>86.58</v>
      </c>
      <c r="R65" s="178">
        <f t="shared" si="12"/>
        <v>173.16</v>
      </c>
      <c r="S65" s="178">
        <f t="shared" si="13"/>
        <v>0</v>
      </c>
      <c r="T65" s="178">
        <f t="shared" si="14"/>
        <v>0</v>
      </c>
      <c r="U65" s="178">
        <f t="shared" si="15"/>
        <v>0</v>
      </c>
      <c r="V65" s="178">
        <f t="shared" si="16"/>
        <v>259.74</v>
      </c>
    </row>
    <row r="66" spans="1:22" ht="72">
      <c r="A66" s="180">
        <v>57</v>
      </c>
      <c r="B66" s="170" t="s">
        <v>505</v>
      </c>
      <c r="C66" s="56" t="s">
        <v>625</v>
      </c>
      <c r="D66" s="173" t="s">
        <v>263</v>
      </c>
      <c r="E66" s="173">
        <v>0</v>
      </c>
      <c r="F66" s="173">
        <v>0</v>
      </c>
      <c r="G66" s="173">
        <v>1</v>
      </c>
      <c r="H66" s="173">
        <v>2</v>
      </c>
      <c r="I66" s="173">
        <v>1</v>
      </c>
      <c r="J66" s="173">
        <v>2</v>
      </c>
      <c r="K66" s="173">
        <v>1</v>
      </c>
      <c r="L66" s="173">
        <v>0</v>
      </c>
      <c r="M66" s="173">
        <f>SUM(E66:L66)</f>
        <v>7</v>
      </c>
      <c r="N66" s="236">
        <v>22.14</v>
      </c>
      <c r="O66" s="178">
        <f t="shared" si="9"/>
        <v>0</v>
      </c>
      <c r="P66" s="178">
        <f t="shared" si="10"/>
        <v>0</v>
      </c>
      <c r="Q66" s="178">
        <f t="shared" si="11"/>
        <v>22.14</v>
      </c>
      <c r="R66" s="178">
        <f t="shared" si="12"/>
        <v>44.28</v>
      </c>
      <c r="S66" s="178">
        <f t="shared" si="13"/>
        <v>22.14</v>
      </c>
      <c r="T66" s="178">
        <f t="shared" si="14"/>
        <v>44.28</v>
      </c>
      <c r="U66" s="178">
        <f t="shared" si="15"/>
        <v>22.14</v>
      </c>
      <c r="V66" s="178">
        <f t="shared" si="16"/>
        <v>0</v>
      </c>
    </row>
    <row r="67" spans="1:22" ht="43.2">
      <c r="A67" s="180">
        <v>58</v>
      </c>
      <c r="B67" s="170" t="s">
        <v>626</v>
      </c>
      <c r="C67" s="197" t="s">
        <v>627</v>
      </c>
      <c r="D67" s="173" t="s">
        <v>263</v>
      </c>
      <c r="E67" s="173">
        <v>96</v>
      </c>
      <c r="F67" s="173">
        <v>0</v>
      </c>
      <c r="G67" s="173">
        <v>6</v>
      </c>
      <c r="H67" s="173">
        <v>36</v>
      </c>
      <c r="I67" s="173">
        <v>8</v>
      </c>
      <c r="J67" s="173">
        <v>36</v>
      </c>
      <c r="K67" s="173">
        <v>24</v>
      </c>
      <c r="L67" s="173">
        <v>16</v>
      </c>
      <c r="M67" s="173">
        <f t="shared" si="8"/>
        <v>222</v>
      </c>
      <c r="N67" s="175">
        <v>13.9</v>
      </c>
      <c r="O67" s="178">
        <f t="shared" si="9"/>
        <v>1334.4</v>
      </c>
      <c r="P67" s="178">
        <f t="shared" si="10"/>
        <v>0</v>
      </c>
      <c r="Q67" s="178">
        <f t="shared" si="11"/>
        <v>83.4</v>
      </c>
      <c r="R67" s="178">
        <f t="shared" si="12"/>
        <v>500.40000000000003</v>
      </c>
      <c r="S67" s="178">
        <f t="shared" si="13"/>
        <v>111.2</v>
      </c>
      <c r="T67" s="178">
        <f t="shared" si="14"/>
        <v>500.40000000000003</v>
      </c>
      <c r="U67" s="178">
        <f t="shared" si="15"/>
        <v>333.6</v>
      </c>
      <c r="V67" s="178">
        <f t="shared" si="16"/>
        <v>222.4</v>
      </c>
    </row>
    <row r="68" spans="1:22" ht="43.2">
      <c r="A68" s="180">
        <v>59</v>
      </c>
      <c r="B68" s="170" t="s">
        <v>313</v>
      </c>
      <c r="C68" s="56" t="s">
        <v>629</v>
      </c>
      <c r="D68" s="173" t="s">
        <v>263</v>
      </c>
      <c r="E68" s="173">
        <v>12</v>
      </c>
      <c r="F68" s="173">
        <v>0</v>
      </c>
      <c r="G68" s="173">
        <v>2</v>
      </c>
      <c r="H68" s="173">
        <v>12</v>
      </c>
      <c r="I68" s="173">
        <v>4</v>
      </c>
      <c r="J68" s="173">
        <v>12</v>
      </c>
      <c r="K68" s="173">
        <v>24</v>
      </c>
      <c r="L68" s="173">
        <v>0</v>
      </c>
      <c r="M68" s="173">
        <f>SUM(E68:L68)</f>
        <v>66</v>
      </c>
      <c r="N68" s="175">
        <v>23.64</v>
      </c>
      <c r="O68" s="178">
        <f t="shared" si="9"/>
        <v>283.68</v>
      </c>
      <c r="P68" s="178">
        <f t="shared" si="10"/>
        <v>0</v>
      </c>
      <c r="Q68" s="178">
        <f t="shared" si="11"/>
        <v>47.28</v>
      </c>
      <c r="R68" s="178">
        <f t="shared" si="12"/>
        <v>283.68</v>
      </c>
      <c r="S68" s="178">
        <f t="shared" si="13"/>
        <v>94.56</v>
      </c>
      <c r="T68" s="178">
        <f t="shared" si="14"/>
        <v>283.68</v>
      </c>
      <c r="U68" s="178">
        <f t="shared" si="15"/>
        <v>567.36</v>
      </c>
      <c r="V68" s="178">
        <f t="shared" si="16"/>
        <v>0</v>
      </c>
    </row>
    <row r="69" spans="1:22" ht="43.2">
      <c r="A69" s="180">
        <v>60</v>
      </c>
      <c r="B69" s="307" t="s">
        <v>312</v>
      </c>
      <c r="C69" s="197" t="s">
        <v>628</v>
      </c>
      <c r="D69" s="173" t="s">
        <v>263</v>
      </c>
      <c r="E69" s="173">
        <v>12</v>
      </c>
      <c r="F69" s="173">
        <v>1</v>
      </c>
      <c r="G69" s="173">
        <v>6</v>
      </c>
      <c r="H69" s="173">
        <v>24</v>
      </c>
      <c r="I69" s="173">
        <v>4</v>
      </c>
      <c r="J69" s="173">
        <v>12</v>
      </c>
      <c r="K69" s="173">
        <v>24</v>
      </c>
      <c r="L69" s="173">
        <v>8</v>
      </c>
      <c r="M69" s="173">
        <f t="shared" si="8"/>
        <v>91</v>
      </c>
      <c r="N69" s="175">
        <v>12.59</v>
      </c>
      <c r="O69" s="178">
        <f t="shared" si="9"/>
        <v>151.07999999999998</v>
      </c>
      <c r="P69" s="178">
        <f t="shared" si="10"/>
        <v>12.59</v>
      </c>
      <c r="Q69" s="178">
        <f t="shared" si="11"/>
        <v>75.539999999999992</v>
      </c>
      <c r="R69" s="178">
        <f t="shared" si="12"/>
        <v>302.15999999999997</v>
      </c>
      <c r="S69" s="178">
        <f t="shared" si="13"/>
        <v>50.36</v>
      </c>
      <c r="T69" s="178">
        <f t="shared" si="14"/>
        <v>151.07999999999998</v>
      </c>
      <c r="U69" s="178">
        <f t="shared" si="15"/>
        <v>302.15999999999997</v>
      </c>
      <c r="V69" s="178">
        <f t="shared" si="16"/>
        <v>100.72</v>
      </c>
    </row>
    <row r="70" spans="1:22">
      <c r="A70" s="180">
        <v>61</v>
      </c>
      <c r="B70" s="303" t="s">
        <v>315</v>
      </c>
      <c r="C70" s="197" t="s">
        <v>631</v>
      </c>
      <c r="D70" s="173" t="s">
        <v>263</v>
      </c>
      <c r="E70" s="173">
        <v>0</v>
      </c>
      <c r="F70" s="173">
        <v>0</v>
      </c>
      <c r="G70" s="173">
        <v>0</v>
      </c>
      <c r="H70" s="173">
        <v>0</v>
      </c>
      <c r="I70" s="173">
        <v>0</v>
      </c>
      <c r="J70" s="173">
        <v>0</v>
      </c>
      <c r="K70" s="173">
        <v>2</v>
      </c>
      <c r="L70" s="173">
        <v>2</v>
      </c>
      <c r="M70" s="173">
        <f>SUM(E70:L70)</f>
        <v>4</v>
      </c>
      <c r="N70" s="175">
        <v>85.1</v>
      </c>
      <c r="O70" s="178">
        <f t="shared" si="9"/>
        <v>0</v>
      </c>
      <c r="P70" s="178">
        <f t="shared" si="10"/>
        <v>0</v>
      </c>
      <c r="Q70" s="178">
        <f t="shared" si="11"/>
        <v>0</v>
      </c>
      <c r="R70" s="178">
        <f t="shared" si="12"/>
        <v>0</v>
      </c>
      <c r="S70" s="178">
        <f t="shared" si="13"/>
        <v>0</v>
      </c>
      <c r="T70" s="178">
        <f t="shared" si="14"/>
        <v>0</v>
      </c>
      <c r="U70" s="178">
        <f t="shared" si="15"/>
        <v>170.2</v>
      </c>
      <c r="V70" s="178">
        <f t="shared" si="16"/>
        <v>170.2</v>
      </c>
    </row>
    <row r="71" spans="1:22" ht="43.2">
      <c r="A71" s="180">
        <v>62</v>
      </c>
      <c r="B71" s="307" t="s">
        <v>314</v>
      </c>
      <c r="C71" s="197" t="s">
        <v>630</v>
      </c>
      <c r="D71" s="173" t="s">
        <v>263</v>
      </c>
      <c r="E71" s="173">
        <v>24</v>
      </c>
      <c r="F71" s="173">
        <v>0</v>
      </c>
      <c r="G71" s="173">
        <v>4</v>
      </c>
      <c r="H71" s="173">
        <v>5</v>
      </c>
      <c r="I71" s="173">
        <v>8</v>
      </c>
      <c r="J71" s="173">
        <v>20</v>
      </c>
      <c r="K71" s="173">
        <v>0</v>
      </c>
      <c r="L71" s="173">
        <v>0</v>
      </c>
      <c r="M71" s="173">
        <f t="shared" si="8"/>
        <v>61</v>
      </c>
      <c r="N71" s="175">
        <v>18.579999999999998</v>
      </c>
      <c r="O71" s="178">
        <f t="shared" si="9"/>
        <v>445.91999999999996</v>
      </c>
      <c r="P71" s="178">
        <f t="shared" si="10"/>
        <v>0</v>
      </c>
      <c r="Q71" s="178">
        <f t="shared" si="11"/>
        <v>74.319999999999993</v>
      </c>
      <c r="R71" s="178">
        <f t="shared" si="12"/>
        <v>92.899999999999991</v>
      </c>
      <c r="S71" s="178">
        <f t="shared" si="13"/>
        <v>148.63999999999999</v>
      </c>
      <c r="T71" s="178">
        <f t="shared" si="14"/>
        <v>371.59999999999997</v>
      </c>
      <c r="U71" s="178">
        <f t="shared" si="15"/>
        <v>0</v>
      </c>
      <c r="V71" s="178">
        <f t="shared" si="16"/>
        <v>0</v>
      </c>
    </row>
    <row r="72" spans="1:22" ht="43.2">
      <c r="A72" s="180">
        <v>63</v>
      </c>
      <c r="B72" s="307" t="s">
        <v>335</v>
      </c>
      <c r="C72" s="197" t="s">
        <v>632</v>
      </c>
      <c r="D72" s="173" t="s">
        <v>263</v>
      </c>
      <c r="E72" s="173">
        <v>24</v>
      </c>
      <c r="F72" s="173">
        <v>12</v>
      </c>
      <c r="G72" s="173">
        <v>18</v>
      </c>
      <c r="H72" s="173">
        <v>12</v>
      </c>
      <c r="I72" s="173">
        <v>0</v>
      </c>
      <c r="J72" s="173">
        <v>12</v>
      </c>
      <c r="K72" s="173">
        <v>20</v>
      </c>
      <c r="L72" s="173">
        <v>12</v>
      </c>
      <c r="M72" s="173">
        <f>SUM(E72:L72)</f>
        <v>110</v>
      </c>
      <c r="N72" s="175">
        <v>12.88</v>
      </c>
      <c r="O72" s="178">
        <f t="shared" si="9"/>
        <v>309.12</v>
      </c>
      <c r="P72" s="178">
        <f t="shared" si="10"/>
        <v>154.56</v>
      </c>
      <c r="Q72" s="178">
        <f t="shared" si="11"/>
        <v>231.84</v>
      </c>
      <c r="R72" s="178">
        <f t="shared" si="12"/>
        <v>154.56</v>
      </c>
      <c r="S72" s="178">
        <f t="shared" si="13"/>
        <v>0</v>
      </c>
      <c r="T72" s="178">
        <f t="shared" si="14"/>
        <v>154.56</v>
      </c>
      <c r="U72" s="178">
        <f t="shared" si="15"/>
        <v>257.60000000000002</v>
      </c>
      <c r="V72" s="178">
        <f t="shared" si="16"/>
        <v>154.56</v>
      </c>
    </row>
    <row r="73" spans="1:22" ht="43.2">
      <c r="A73" s="180">
        <v>64</v>
      </c>
      <c r="B73" s="307" t="s">
        <v>562</v>
      </c>
      <c r="C73" s="197" t="s">
        <v>633</v>
      </c>
      <c r="D73" s="173" t="s">
        <v>263</v>
      </c>
      <c r="E73" s="173">
        <v>0</v>
      </c>
      <c r="F73" s="173">
        <v>0</v>
      </c>
      <c r="G73" s="173">
        <v>18</v>
      </c>
      <c r="H73" s="173">
        <v>12</v>
      </c>
      <c r="I73" s="173">
        <v>0</v>
      </c>
      <c r="J73" s="173">
        <v>12</v>
      </c>
      <c r="K73" s="173">
        <v>5</v>
      </c>
      <c r="L73" s="173">
        <v>12</v>
      </c>
      <c r="M73" s="173">
        <f t="shared" ref="M73" si="17">SUM(E73:L73)</f>
        <v>59</v>
      </c>
      <c r="N73" s="175">
        <v>13.45</v>
      </c>
      <c r="O73" s="178">
        <f t="shared" si="9"/>
        <v>0</v>
      </c>
      <c r="P73" s="178">
        <f t="shared" si="10"/>
        <v>0</v>
      </c>
      <c r="Q73" s="178">
        <f t="shared" si="11"/>
        <v>242.1</v>
      </c>
      <c r="R73" s="178">
        <f t="shared" si="12"/>
        <v>161.39999999999998</v>
      </c>
      <c r="S73" s="178">
        <f t="shared" si="13"/>
        <v>0</v>
      </c>
      <c r="T73" s="178">
        <f t="shared" si="14"/>
        <v>161.39999999999998</v>
      </c>
      <c r="U73" s="178">
        <f t="shared" si="15"/>
        <v>67.25</v>
      </c>
      <c r="V73" s="178">
        <f t="shared" si="16"/>
        <v>161.39999999999998</v>
      </c>
    </row>
    <row r="74" spans="1:22">
      <c r="A74" s="432" t="s">
        <v>336</v>
      </c>
      <c r="B74" s="433"/>
      <c r="C74" s="433"/>
      <c r="D74" s="433"/>
      <c r="E74" s="433"/>
      <c r="F74" s="433"/>
      <c r="G74" s="433"/>
      <c r="H74" s="433"/>
      <c r="I74" s="433"/>
      <c r="J74" s="433"/>
      <c r="K74" s="433"/>
      <c r="L74" s="433"/>
      <c r="M74" s="433"/>
      <c r="N74" s="434"/>
      <c r="O74" s="192">
        <f t="shared" ref="O74:V74" si="18">SUM(O10:O73)</f>
        <v>25962.520000000011</v>
      </c>
      <c r="P74" s="192">
        <f t="shared" si="18"/>
        <v>1873.28</v>
      </c>
      <c r="Q74" s="192">
        <f t="shared" si="18"/>
        <v>5713.96</v>
      </c>
      <c r="R74" s="192">
        <f t="shared" si="18"/>
        <v>10191.740000000002</v>
      </c>
      <c r="S74" s="192">
        <f t="shared" si="18"/>
        <v>4207.33</v>
      </c>
      <c r="T74" s="192">
        <f t="shared" si="18"/>
        <v>7859.0800000000017</v>
      </c>
      <c r="U74" s="192">
        <f t="shared" si="18"/>
        <v>7240.88</v>
      </c>
      <c r="V74" s="192">
        <f t="shared" si="18"/>
        <v>7333.3</v>
      </c>
    </row>
    <row r="75" spans="1:22">
      <c r="A75" s="432" t="s">
        <v>337</v>
      </c>
      <c r="B75" s="433"/>
      <c r="C75" s="433"/>
      <c r="D75" s="433"/>
      <c r="E75" s="433"/>
      <c r="F75" s="433"/>
      <c r="G75" s="433"/>
      <c r="H75" s="433"/>
      <c r="I75" s="433"/>
      <c r="J75" s="433"/>
      <c r="K75" s="433"/>
      <c r="L75" s="433"/>
      <c r="M75" s="433"/>
      <c r="N75" s="434"/>
      <c r="O75" s="193">
        <f>SUM(CURITIBA!$E$18,CURITIBA!$G$18,CURITIBA!$H$18)</f>
        <v>20</v>
      </c>
      <c r="P75" s="193">
        <f>CURITIBA!$F$18</f>
        <v>1</v>
      </c>
      <c r="Q75" s="193">
        <f>SUM(GUARAPUAVA!$E$18,GUARAPUAVA!$F$18)</f>
        <v>3</v>
      </c>
      <c r="R75" s="193">
        <f>SUM(LONDRINA!$E$18,LONDRINA!$F$18)</f>
        <v>6</v>
      </c>
      <c r="S75" s="193">
        <f>LONDRINA!$G$18</f>
        <v>1</v>
      </c>
      <c r="T75" s="193">
        <f>SUM(MARINGA!$E$18:$F$18)</f>
        <v>5</v>
      </c>
      <c r="U75" s="193">
        <f>SUM(PARANAGUA!$E$18:$F$18)</f>
        <v>5</v>
      </c>
      <c r="V75" s="193">
        <f>SUM(PONTA_GROSSA!$E$18,PONTA_GROSSA!$F$18)</f>
        <v>2</v>
      </c>
    </row>
    <row r="76" spans="1:22">
      <c r="A76" s="432" t="s">
        <v>338</v>
      </c>
      <c r="B76" s="433"/>
      <c r="C76" s="433"/>
      <c r="D76" s="433"/>
      <c r="E76" s="433"/>
      <c r="F76" s="433"/>
      <c r="G76" s="433"/>
      <c r="H76" s="433"/>
      <c r="I76" s="433"/>
      <c r="J76" s="433"/>
      <c r="K76" s="433"/>
      <c r="L76" s="433"/>
      <c r="M76" s="433"/>
      <c r="N76" s="434"/>
      <c r="O76" s="192">
        <f>O74/O75/12</f>
        <v>108.17716666666672</v>
      </c>
      <c r="P76" s="192">
        <f t="shared" ref="P76:V76" si="19">P74/P75/12</f>
        <v>156.10666666666665</v>
      </c>
      <c r="Q76" s="192">
        <f t="shared" si="19"/>
        <v>158.72111111111113</v>
      </c>
      <c r="R76" s="192">
        <f t="shared" ref="R76" si="20">R74/R75/12</f>
        <v>141.55194444444447</v>
      </c>
      <c r="S76" s="192">
        <f t="shared" ref="S76:T76" si="21">S74/S75/12</f>
        <v>350.61083333333335</v>
      </c>
      <c r="T76" s="192">
        <f t="shared" si="21"/>
        <v>130.9846666666667</v>
      </c>
      <c r="U76" s="192">
        <f t="shared" si="19"/>
        <v>120.68133333333333</v>
      </c>
      <c r="V76" s="192">
        <f t="shared" si="19"/>
        <v>305.55416666666667</v>
      </c>
    </row>
  </sheetData>
  <sortState xmlns:xlrd2="http://schemas.microsoft.com/office/spreadsheetml/2017/richdata2" ref="A10:V73">
    <sortCondition ref="C10:C73"/>
  </sortState>
  <mergeCells count="19">
    <mergeCell ref="D8:D9"/>
    <mergeCell ref="M8:M9"/>
    <mergeCell ref="E7:M7"/>
    <mergeCell ref="A75:N75"/>
    <mergeCell ref="A76:N76"/>
    <mergeCell ref="A74:N74"/>
    <mergeCell ref="A1:V2"/>
    <mergeCell ref="A4:V4"/>
    <mergeCell ref="A5:V5"/>
    <mergeCell ref="O7:V7"/>
    <mergeCell ref="A7:D7"/>
    <mergeCell ref="N7:N9"/>
    <mergeCell ref="R8:S8"/>
    <mergeCell ref="E8:F8"/>
    <mergeCell ref="H8:I8"/>
    <mergeCell ref="O8:P8"/>
    <mergeCell ref="A8:A9"/>
    <mergeCell ref="B8:B9"/>
    <mergeCell ref="C8:C9"/>
  </mergeCells>
  <printOptions horizontalCentered="1"/>
  <pageMargins left="0.118110236220472" right="0.118110236220472" top="0.39370078740157499" bottom="0.39370078740157499" header="0.31496062992126" footer="0.31496062992126"/>
  <pageSetup paperSize="3" scale="78" fitToHeight="0" orientation="landscape" r:id="rId1"/>
  <headerFooter>
    <oddFooter>&amp;C&amp;A
&amp;P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0632D-BE89-4E18-A00F-B59AC87ECDC2}">
  <sheetPr>
    <pageSetUpPr fitToPage="1"/>
  </sheetPr>
  <dimension ref="A1:V52"/>
  <sheetViews>
    <sheetView showGridLines="0" view="pageBreakPreview" topLeftCell="A41" zoomScale="74" zoomScaleNormal="70" zoomScaleSheetLayoutView="74" workbookViewId="0">
      <selection activeCell="O50" sqref="O50:V50"/>
    </sheetView>
  </sheetViews>
  <sheetFormatPr defaultColWidth="9.44140625" defaultRowHeight="14.4"/>
  <cols>
    <col min="1" max="1" width="8.44140625" style="168" customWidth="1"/>
    <col min="2" max="2" width="58.5546875" style="171" customWidth="1"/>
    <col min="3" max="3" width="16.33203125" style="172" customWidth="1"/>
    <col min="4" max="4" width="17.109375" style="168" customWidth="1"/>
    <col min="5" max="5" width="12.5546875" style="168" customWidth="1"/>
    <col min="6" max="6" width="11.44140625" style="168" customWidth="1"/>
    <col min="7" max="7" width="15" style="168" customWidth="1"/>
    <col min="8" max="8" width="9.109375" style="168" customWidth="1"/>
    <col min="9" max="9" width="8.88671875" style="168" customWidth="1"/>
    <col min="10" max="10" width="16.109375" style="168" customWidth="1"/>
    <col min="11" max="11" width="21.109375" style="168" customWidth="1"/>
    <col min="12" max="12" width="15.5546875" style="168" bestFit="1" customWidth="1"/>
    <col min="13" max="13" width="15.5546875" style="168" customWidth="1"/>
    <col min="14" max="14" width="15.88671875" style="139" customWidth="1"/>
    <col min="15" max="15" width="14.5546875" style="139" bestFit="1" customWidth="1"/>
    <col min="16" max="16" width="12.5546875" style="139" bestFit="1" customWidth="1"/>
    <col min="17" max="17" width="15.109375" style="139" customWidth="1"/>
    <col min="18" max="18" width="13" style="139" bestFit="1" customWidth="1"/>
    <col min="19" max="19" width="12.109375" style="139" bestFit="1" customWidth="1"/>
    <col min="20" max="20" width="13" style="139" bestFit="1" customWidth="1"/>
    <col min="21" max="21" width="16.109375" style="139" customWidth="1"/>
    <col min="22" max="22" width="17.109375" style="139" customWidth="1"/>
    <col min="23" max="23" width="14.5546875" style="139" customWidth="1"/>
    <col min="24" max="16384" width="9.44140625" style="139"/>
  </cols>
  <sheetData>
    <row r="1" spans="1:22">
      <c r="A1" s="320" t="s">
        <v>10</v>
      </c>
      <c r="B1" s="320"/>
      <c r="C1" s="320"/>
      <c r="D1" s="320"/>
      <c r="E1" s="320"/>
      <c r="F1" s="320"/>
      <c r="G1" s="320"/>
      <c r="H1" s="320"/>
      <c r="I1" s="320"/>
      <c r="J1" s="320"/>
      <c r="K1" s="320"/>
      <c r="L1" s="320"/>
      <c r="M1" s="320"/>
      <c r="N1" s="320"/>
      <c r="O1" s="320"/>
      <c r="P1" s="320"/>
      <c r="Q1" s="320"/>
      <c r="R1" s="320"/>
      <c r="S1" s="320"/>
      <c r="T1" s="320"/>
      <c r="U1" s="320"/>
      <c r="V1" s="320"/>
    </row>
    <row r="2" spans="1:22">
      <c r="A2" s="320"/>
      <c r="B2" s="320"/>
      <c r="C2" s="320"/>
      <c r="D2" s="320"/>
      <c r="E2" s="320"/>
      <c r="F2" s="320"/>
      <c r="G2" s="320"/>
      <c r="H2" s="320"/>
      <c r="I2" s="320"/>
      <c r="J2" s="320"/>
      <c r="K2" s="320"/>
      <c r="L2" s="320"/>
      <c r="M2" s="320"/>
      <c r="N2" s="320"/>
      <c r="O2" s="320"/>
      <c r="P2" s="320"/>
      <c r="Q2" s="320"/>
      <c r="R2" s="320"/>
      <c r="S2" s="320"/>
      <c r="T2" s="320"/>
      <c r="U2" s="320"/>
      <c r="V2" s="320"/>
    </row>
    <row r="3" spans="1:22" ht="15.6">
      <c r="A3" s="2"/>
      <c r="B3" s="2"/>
      <c r="C3" s="2"/>
      <c r="D3" s="2"/>
      <c r="E3" s="2"/>
      <c r="F3" s="2"/>
    </row>
    <row r="4" spans="1:22" ht="15.6">
      <c r="A4" s="321" t="str">
        <f>PROPOSTA_GLOBAL!A4</f>
        <v>SUPERINTENDÊNCIA REGIONAL DA POLÍCIA FEDERAL NO PARANÁ</v>
      </c>
      <c r="B4" s="321"/>
      <c r="C4" s="321"/>
      <c r="D4" s="321"/>
      <c r="E4" s="321"/>
      <c r="F4" s="321"/>
      <c r="G4" s="321"/>
      <c r="H4" s="321"/>
      <c r="I4" s="321"/>
      <c r="J4" s="321"/>
      <c r="K4" s="321"/>
      <c r="L4" s="321"/>
      <c r="M4" s="321"/>
      <c r="N4" s="321"/>
      <c r="O4" s="321"/>
      <c r="P4" s="321"/>
      <c r="Q4" s="321"/>
      <c r="R4" s="321"/>
      <c r="S4" s="321"/>
      <c r="T4" s="321"/>
      <c r="U4" s="321"/>
      <c r="V4" s="321"/>
    </row>
    <row r="5" spans="1:22" ht="15.6">
      <c r="A5" s="321" t="str">
        <f>PROPOSTA_GLOBAL!A5</f>
        <v>PROCESSO ADMINISTRATIVO SEI Nº 08385.000837/2025-50</v>
      </c>
      <c r="B5" s="321"/>
      <c r="C5" s="321"/>
      <c r="D5" s="321"/>
      <c r="E5" s="321"/>
      <c r="F5" s="321"/>
      <c r="G5" s="321"/>
      <c r="H5" s="321"/>
      <c r="I5" s="321"/>
      <c r="J5" s="321"/>
      <c r="K5" s="321"/>
      <c r="L5" s="321"/>
      <c r="M5" s="321"/>
      <c r="N5" s="321"/>
      <c r="O5" s="321"/>
      <c r="P5" s="321"/>
      <c r="Q5" s="321"/>
      <c r="R5" s="321"/>
      <c r="S5" s="321"/>
      <c r="T5" s="321"/>
      <c r="U5" s="321"/>
      <c r="V5" s="321"/>
    </row>
    <row r="6" spans="1:22">
      <c r="A6" s="167"/>
      <c r="B6" s="169"/>
      <c r="C6" s="24"/>
      <c r="D6" s="23"/>
    </row>
    <row r="7" spans="1:22" ht="21">
      <c r="A7" s="428" t="s">
        <v>339</v>
      </c>
      <c r="B7" s="428"/>
      <c r="C7" s="428"/>
      <c r="D7" s="428"/>
      <c r="E7" s="428" t="s">
        <v>340</v>
      </c>
      <c r="F7" s="428"/>
      <c r="G7" s="428"/>
      <c r="H7" s="428"/>
      <c r="I7" s="428"/>
      <c r="J7" s="428"/>
      <c r="K7" s="428"/>
      <c r="L7" s="428"/>
      <c r="M7" s="428"/>
      <c r="N7" s="438" t="s">
        <v>286</v>
      </c>
      <c r="O7" s="435" t="s">
        <v>341</v>
      </c>
      <c r="P7" s="436"/>
      <c r="Q7" s="436"/>
      <c r="R7" s="436"/>
      <c r="S7" s="436"/>
      <c r="T7" s="436"/>
      <c r="U7" s="436"/>
      <c r="V7" s="437"/>
    </row>
    <row r="8" spans="1:22" ht="35.25" customHeight="1">
      <c r="A8" s="418" t="s">
        <v>248</v>
      </c>
      <c r="B8" s="418" t="s">
        <v>249</v>
      </c>
      <c r="C8" s="418" t="s">
        <v>546</v>
      </c>
      <c r="D8" s="418" t="s">
        <v>250</v>
      </c>
      <c r="E8" s="308" t="s">
        <v>251</v>
      </c>
      <c r="F8" s="309"/>
      <c r="G8" s="298" t="s">
        <v>252</v>
      </c>
      <c r="H8" s="447" t="s">
        <v>253</v>
      </c>
      <c r="I8" s="448"/>
      <c r="J8" s="309" t="s">
        <v>254</v>
      </c>
      <c r="K8" s="308" t="s">
        <v>255</v>
      </c>
      <c r="L8" s="298" t="s">
        <v>256</v>
      </c>
      <c r="M8" s="455" t="s">
        <v>143</v>
      </c>
      <c r="N8" s="439"/>
      <c r="O8" s="441" t="s">
        <v>251</v>
      </c>
      <c r="P8" s="442"/>
      <c r="Q8" s="284" t="s">
        <v>252</v>
      </c>
      <c r="R8" s="441" t="s">
        <v>253</v>
      </c>
      <c r="S8" s="442"/>
      <c r="T8" s="283" t="s">
        <v>254</v>
      </c>
      <c r="U8" s="282" t="s">
        <v>255</v>
      </c>
      <c r="V8" s="284" t="s">
        <v>256</v>
      </c>
    </row>
    <row r="9" spans="1:22" ht="30.75" customHeight="1">
      <c r="A9" s="419"/>
      <c r="B9" s="419"/>
      <c r="C9" s="419"/>
      <c r="D9" s="419"/>
      <c r="E9" s="284" t="s">
        <v>257</v>
      </c>
      <c r="F9" s="284" t="s">
        <v>258</v>
      </c>
      <c r="G9" s="284" t="s">
        <v>259</v>
      </c>
      <c r="H9" s="284" t="s">
        <v>259</v>
      </c>
      <c r="I9" s="284" t="s">
        <v>258</v>
      </c>
      <c r="J9" s="284" t="s">
        <v>259</v>
      </c>
      <c r="K9" s="284" t="s">
        <v>260</v>
      </c>
      <c r="L9" s="284" t="s">
        <v>259</v>
      </c>
      <c r="M9" s="419"/>
      <c r="N9" s="440"/>
      <c r="O9" s="284" t="s">
        <v>257</v>
      </c>
      <c r="P9" s="284" t="s">
        <v>258</v>
      </c>
      <c r="Q9" s="284" t="s">
        <v>259</v>
      </c>
      <c r="R9" s="284" t="s">
        <v>259</v>
      </c>
      <c r="S9" s="284" t="s">
        <v>258</v>
      </c>
      <c r="T9" s="284" t="s">
        <v>259</v>
      </c>
      <c r="U9" s="284" t="s">
        <v>260</v>
      </c>
      <c r="V9" s="280" t="s">
        <v>259</v>
      </c>
    </row>
    <row r="10" spans="1:22" ht="43.2">
      <c r="A10" s="180">
        <v>1</v>
      </c>
      <c r="B10" s="257" t="s">
        <v>636</v>
      </c>
      <c r="C10" s="56" t="s">
        <v>342</v>
      </c>
      <c r="D10" s="260" t="s">
        <v>343</v>
      </c>
      <c r="E10" s="173">
        <v>40</v>
      </c>
      <c r="F10" s="173">
        <v>4</v>
      </c>
      <c r="G10" s="173">
        <v>5</v>
      </c>
      <c r="H10" s="173">
        <v>8</v>
      </c>
      <c r="I10" s="173">
        <v>5</v>
      </c>
      <c r="J10" s="173">
        <v>6</v>
      </c>
      <c r="K10" s="173">
        <v>6</v>
      </c>
      <c r="L10" s="173">
        <v>2</v>
      </c>
      <c r="M10" s="173">
        <f>SUM(E10:L10)</f>
        <v>76</v>
      </c>
      <c r="N10" s="483">
        <v>7.5</v>
      </c>
      <c r="O10" s="194">
        <f t="shared" ref="O10:V10" si="0">$N10*E10</f>
        <v>300</v>
      </c>
      <c r="P10" s="194">
        <f t="shared" si="0"/>
        <v>30</v>
      </c>
      <c r="Q10" s="194">
        <f t="shared" si="0"/>
        <v>37.5</v>
      </c>
      <c r="R10" s="194">
        <f t="shared" si="0"/>
        <v>60</v>
      </c>
      <c r="S10" s="194">
        <f t="shared" si="0"/>
        <v>37.5</v>
      </c>
      <c r="T10" s="194">
        <f t="shared" si="0"/>
        <v>45</v>
      </c>
      <c r="U10" s="194">
        <f t="shared" si="0"/>
        <v>45</v>
      </c>
      <c r="V10" s="239">
        <f t="shared" si="0"/>
        <v>15</v>
      </c>
    </row>
    <row r="11" spans="1:22" ht="72">
      <c r="A11" s="180">
        <v>2</v>
      </c>
      <c r="B11" s="257" t="s">
        <v>637</v>
      </c>
      <c r="C11" s="56" t="s">
        <v>344</v>
      </c>
      <c r="D11" s="260" t="s">
        <v>345</v>
      </c>
      <c r="E11" s="173">
        <v>60</v>
      </c>
      <c r="F11" s="173">
        <v>12</v>
      </c>
      <c r="G11" s="173">
        <v>10</v>
      </c>
      <c r="H11" s="173">
        <v>24</v>
      </c>
      <c r="I11" s="173">
        <v>10</v>
      </c>
      <c r="J11" s="173">
        <v>20</v>
      </c>
      <c r="K11" s="173">
        <v>15</v>
      </c>
      <c r="L11" s="173">
        <v>10</v>
      </c>
      <c r="M11" s="57">
        <f t="shared" ref="M11:M49" si="1">SUM(E11:L11)</f>
        <v>161</v>
      </c>
      <c r="N11" s="483">
        <v>5.43</v>
      </c>
      <c r="O11" s="194">
        <f t="shared" ref="O11:O48" si="2">$N11*E11</f>
        <v>325.79999999999995</v>
      </c>
      <c r="P11" s="194">
        <f t="shared" ref="P11:P49" si="3">$N11*F11</f>
        <v>65.16</v>
      </c>
      <c r="Q11" s="194">
        <f t="shared" ref="Q11:Q49" si="4">$N11*G11</f>
        <v>54.3</v>
      </c>
      <c r="R11" s="194">
        <f t="shared" ref="R11:R49" si="5">$N11*H11</f>
        <v>130.32</v>
      </c>
      <c r="S11" s="194">
        <f t="shared" ref="S11:S49" si="6">$N11*I11</f>
        <v>54.3</v>
      </c>
      <c r="T11" s="194">
        <f t="shared" ref="T11:T49" si="7">$N11*J11</f>
        <v>108.6</v>
      </c>
      <c r="U11" s="194">
        <f t="shared" ref="U11:U49" si="8">$N11*K11</f>
        <v>81.449999999999989</v>
      </c>
      <c r="V11" s="239">
        <f t="shared" ref="V11:V49" si="9">$N11*L11</f>
        <v>54.3</v>
      </c>
    </row>
    <row r="12" spans="1:22" ht="28.8">
      <c r="A12" s="180">
        <v>3</v>
      </c>
      <c r="B12" s="285" t="s">
        <v>508</v>
      </c>
      <c r="C12" s="56" t="s">
        <v>509</v>
      </c>
      <c r="D12" s="260" t="s">
        <v>510</v>
      </c>
      <c r="E12" s="57">
        <v>1</v>
      </c>
      <c r="F12" s="57">
        <v>1</v>
      </c>
      <c r="G12" s="57">
        <v>1</v>
      </c>
      <c r="H12" s="57">
        <v>1</v>
      </c>
      <c r="I12" s="57">
        <v>1</v>
      </c>
      <c r="J12" s="57">
        <v>1</v>
      </c>
      <c r="K12" s="57">
        <v>1</v>
      </c>
      <c r="L12" s="57">
        <v>1</v>
      </c>
      <c r="M12" s="57">
        <f>SUM(E12:L12)</f>
        <v>8</v>
      </c>
      <c r="N12" s="484">
        <v>27.72</v>
      </c>
      <c r="O12" s="178">
        <f t="shared" ref="O12:V14" si="10">$N12*E12</f>
        <v>27.72</v>
      </c>
      <c r="P12" s="178">
        <f t="shared" si="10"/>
        <v>27.72</v>
      </c>
      <c r="Q12" s="178">
        <f t="shared" si="10"/>
        <v>27.72</v>
      </c>
      <c r="R12" s="178">
        <f t="shared" si="10"/>
        <v>27.72</v>
      </c>
      <c r="S12" s="178">
        <f t="shared" si="10"/>
        <v>27.72</v>
      </c>
      <c r="T12" s="178">
        <f t="shared" si="10"/>
        <v>27.72</v>
      </c>
      <c r="U12" s="178">
        <f t="shared" si="10"/>
        <v>27.72</v>
      </c>
      <c r="V12" s="178">
        <f t="shared" si="10"/>
        <v>27.72</v>
      </c>
    </row>
    <row r="13" spans="1:22" ht="28.8">
      <c r="A13" s="180">
        <v>4</v>
      </c>
      <c r="B13" s="257" t="s">
        <v>645</v>
      </c>
      <c r="C13" s="56" t="s">
        <v>399</v>
      </c>
      <c r="D13" s="260" t="s">
        <v>400</v>
      </c>
      <c r="E13" s="57">
        <v>0</v>
      </c>
      <c r="F13" s="57">
        <v>1</v>
      </c>
      <c r="G13" s="57">
        <v>0</v>
      </c>
      <c r="H13" s="57">
        <v>0</v>
      </c>
      <c r="I13" s="57">
        <v>2</v>
      </c>
      <c r="J13" s="57">
        <v>0</v>
      </c>
      <c r="K13" s="57">
        <v>0</v>
      </c>
      <c r="L13" s="57">
        <v>0</v>
      </c>
      <c r="M13" s="57">
        <f>SUM(E13:L13)</f>
        <v>3</v>
      </c>
      <c r="N13" s="483">
        <v>4.4800000000000004</v>
      </c>
      <c r="O13" s="194">
        <f t="shared" si="10"/>
        <v>0</v>
      </c>
      <c r="P13" s="194">
        <f t="shared" si="10"/>
        <v>4.4800000000000004</v>
      </c>
      <c r="Q13" s="194">
        <f t="shared" si="10"/>
        <v>0</v>
      </c>
      <c r="R13" s="194">
        <f t="shared" si="10"/>
        <v>0</v>
      </c>
      <c r="S13" s="194">
        <f t="shared" si="10"/>
        <v>8.9600000000000009</v>
      </c>
      <c r="T13" s="194">
        <f t="shared" si="10"/>
        <v>0</v>
      </c>
      <c r="U13" s="194">
        <f t="shared" si="10"/>
        <v>0</v>
      </c>
      <c r="V13" s="239">
        <f t="shared" si="10"/>
        <v>0</v>
      </c>
    </row>
    <row r="14" spans="1:22" ht="43.2">
      <c r="A14" s="180">
        <v>5</v>
      </c>
      <c r="B14" s="257" t="s">
        <v>638</v>
      </c>
      <c r="C14" s="56" t="s">
        <v>401</v>
      </c>
      <c r="D14" s="260" t="s">
        <v>343</v>
      </c>
      <c r="E14" s="173">
        <v>0</v>
      </c>
      <c r="F14" s="173">
        <v>0</v>
      </c>
      <c r="G14" s="173">
        <v>2</v>
      </c>
      <c r="H14" s="173">
        <v>0</v>
      </c>
      <c r="I14" s="173">
        <v>0</v>
      </c>
      <c r="J14" s="173">
        <v>0</v>
      </c>
      <c r="K14" s="173">
        <v>0</v>
      </c>
      <c r="L14" s="173">
        <v>0</v>
      </c>
      <c r="M14" s="173">
        <f>SUM(E14:L14)</f>
        <v>2</v>
      </c>
      <c r="N14" s="483">
        <v>39.1</v>
      </c>
      <c r="O14" s="194">
        <f t="shared" si="10"/>
        <v>0</v>
      </c>
      <c r="P14" s="194">
        <f t="shared" si="10"/>
        <v>0</v>
      </c>
      <c r="Q14" s="194">
        <f t="shared" si="10"/>
        <v>78.2</v>
      </c>
      <c r="R14" s="194">
        <f t="shared" si="10"/>
        <v>0</v>
      </c>
      <c r="S14" s="194">
        <f t="shared" si="10"/>
        <v>0</v>
      </c>
      <c r="T14" s="194">
        <f t="shared" si="10"/>
        <v>0</v>
      </c>
      <c r="U14" s="194">
        <f t="shared" si="10"/>
        <v>0</v>
      </c>
      <c r="V14" s="239">
        <f t="shared" si="10"/>
        <v>0</v>
      </c>
    </row>
    <row r="15" spans="1:22" ht="43.2">
      <c r="A15" s="302">
        <v>6</v>
      </c>
      <c r="B15" s="258" t="s">
        <v>639</v>
      </c>
      <c r="C15" s="197" t="s">
        <v>346</v>
      </c>
      <c r="D15" s="261" t="s">
        <v>343</v>
      </c>
      <c r="E15" s="173">
        <v>40</v>
      </c>
      <c r="F15" s="173">
        <v>5</v>
      </c>
      <c r="G15" s="173">
        <v>3</v>
      </c>
      <c r="H15" s="173">
        <v>10</v>
      </c>
      <c r="I15" s="173">
        <v>5</v>
      </c>
      <c r="J15" s="173">
        <v>8</v>
      </c>
      <c r="K15" s="173">
        <v>7</v>
      </c>
      <c r="L15" s="173">
        <v>3</v>
      </c>
      <c r="M15" s="173">
        <f t="shared" si="1"/>
        <v>81</v>
      </c>
      <c r="N15" s="483">
        <v>13.31</v>
      </c>
      <c r="O15" s="194">
        <f t="shared" si="2"/>
        <v>532.4</v>
      </c>
      <c r="P15" s="194">
        <f t="shared" si="3"/>
        <v>66.55</v>
      </c>
      <c r="Q15" s="194">
        <f t="shared" si="4"/>
        <v>39.93</v>
      </c>
      <c r="R15" s="194">
        <f t="shared" si="5"/>
        <v>133.1</v>
      </c>
      <c r="S15" s="194">
        <f t="shared" si="6"/>
        <v>66.55</v>
      </c>
      <c r="T15" s="194">
        <f t="shared" si="7"/>
        <v>106.48</v>
      </c>
      <c r="U15" s="194">
        <f t="shared" si="8"/>
        <v>93.17</v>
      </c>
      <c r="V15" s="239">
        <f t="shared" si="9"/>
        <v>39.93</v>
      </c>
    </row>
    <row r="16" spans="1:22" ht="28.8">
      <c r="A16" s="302">
        <v>7</v>
      </c>
      <c r="B16" s="258" t="s">
        <v>349</v>
      </c>
      <c r="C16" s="197" t="s">
        <v>350</v>
      </c>
      <c r="D16" s="261" t="s">
        <v>351</v>
      </c>
      <c r="E16" s="173">
        <v>24</v>
      </c>
      <c r="F16" s="173">
        <v>4</v>
      </c>
      <c r="G16" s="173">
        <v>10</v>
      </c>
      <c r="H16" s="173">
        <v>24</v>
      </c>
      <c r="I16" s="173">
        <v>4</v>
      </c>
      <c r="J16" s="173">
        <v>20</v>
      </c>
      <c r="K16" s="173">
        <v>10</v>
      </c>
      <c r="L16" s="173">
        <v>10</v>
      </c>
      <c r="M16" s="57">
        <f>SUM(E16:L16)</f>
        <v>106</v>
      </c>
      <c r="N16" s="483">
        <v>7.89</v>
      </c>
      <c r="O16" s="194">
        <f t="shared" ref="O16:V16" si="11">$N16*E16</f>
        <v>189.35999999999999</v>
      </c>
      <c r="P16" s="194">
        <f t="shared" si="11"/>
        <v>31.56</v>
      </c>
      <c r="Q16" s="194">
        <f t="shared" si="11"/>
        <v>78.899999999999991</v>
      </c>
      <c r="R16" s="194">
        <f t="shared" si="11"/>
        <v>189.35999999999999</v>
      </c>
      <c r="S16" s="194">
        <f t="shared" si="11"/>
        <v>31.56</v>
      </c>
      <c r="T16" s="194">
        <f t="shared" si="11"/>
        <v>157.79999999999998</v>
      </c>
      <c r="U16" s="194">
        <f t="shared" si="11"/>
        <v>78.899999999999991</v>
      </c>
      <c r="V16" s="239">
        <f t="shared" si="11"/>
        <v>78.899999999999991</v>
      </c>
    </row>
    <row r="17" spans="1:22" ht="72">
      <c r="A17" s="180">
        <v>8</v>
      </c>
      <c r="B17" s="257" t="s">
        <v>347</v>
      </c>
      <c r="C17" s="56" t="s">
        <v>348</v>
      </c>
      <c r="D17" s="260" t="s">
        <v>343</v>
      </c>
      <c r="E17" s="57">
        <v>3</v>
      </c>
      <c r="F17" s="57">
        <v>0</v>
      </c>
      <c r="G17" s="57">
        <v>0</v>
      </c>
      <c r="H17" s="57">
        <v>0</v>
      </c>
      <c r="I17" s="57">
        <v>0</v>
      </c>
      <c r="J17" s="57">
        <v>0</v>
      </c>
      <c r="K17" s="57">
        <v>0</v>
      </c>
      <c r="L17" s="57">
        <v>0</v>
      </c>
      <c r="M17" s="57">
        <f t="shared" si="1"/>
        <v>3</v>
      </c>
      <c r="N17" s="483">
        <v>122.87</v>
      </c>
      <c r="O17" s="194">
        <f t="shared" si="2"/>
        <v>368.61</v>
      </c>
      <c r="P17" s="194">
        <f t="shared" si="3"/>
        <v>0</v>
      </c>
      <c r="Q17" s="194">
        <f t="shared" si="4"/>
        <v>0</v>
      </c>
      <c r="R17" s="194">
        <f t="shared" si="5"/>
        <v>0</v>
      </c>
      <c r="S17" s="194">
        <f t="shared" si="6"/>
        <v>0</v>
      </c>
      <c r="T17" s="194">
        <f t="shared" si="7"/>
        <v>0</v>
      </c>
      <c r="U17" s="194">
        <f t="shared" si="8"/>
        <v>0</v>
      </c>
      <c r="V17" s="239">
        <f t="shared" si="9"/>
        <v>0</v>
      </c>
    </row>
    <row r="18" spans="1:22" ht="57.6">
      <c r="A18" s="180">
        <v>9</v>
      </c>
      <c r="B18" s="257" t="s">
        <v>354</v>
      </c>
      <c r="C18" s="56" t="s">
        <v>353</v>
      </c>
      <c r="D18" s="260" t="s">
        <v>355</v>
      </c>
      <c r="E18" s="57">
        <v>60</v>
      </c>
      <c r="F18" s="57">
        <v>10</v>
      </c>
      <c r="G18" s="57">
        <v>10</v>
      </c>
      <c r="H18" s="57">
        <v>24</v>
      </c>
      <c r="I18" s="57">
        <v>15</v>
      </c>
      <c r="J18" s="57">
        <v>30</v>
      </c>
      <c r="K18" s="57">
        <v>10</v>
      </c>
      <c r="L18" s="57">
        <v>12</v>
      </c>
      <c r="M18" s="57">
        <f>SUM(E18:L18)</f>
        <v>171</v>
      </c>
      <c r="N18" s="483">
        <v>1.73</v>
      </c>
      <c r="O18" s="194">
        <f t="shared" ref="O18:V18" si="12">$N18*E18</f>
        <v>103.8</v>
      </c>
      <c r="P18" s="194">
        <f t="shared" si="12"/>
        <v>17.3</v>
      </c>
      <c r="Q18" s="194">
        <f t="shared" si="12"/>
        <v>17.3</v>
      </c>
      <c r="R18" s="194">
        <f t="shared" si="12"/>
        <v>41.519999999999996</v>
      </c>
      <c r="S18" s="194">
        <f t="shared" si="12"/>
        <v>25.95</v>
      </c>
      <c r="T18" s="194">
        <f t="shared" si="12"/>
        <v>51.9</v>
      </c>
      <c r="U18" s="194">
        <f t="shared" si="12"/>
        <v>17.3</v>
      </c>
      <c r="V18" s="239">
        <f t="shared" si="12"/>
        <v>20.759999999999998</v>
      </c>
    </row>
    <row r="19" spans="1:22" ht="43.2">
      <c r="A19" s="180">
        <v>10</v>
      </c>
      <c r="B19" s="257" t="s">
        <v>352</v>
      </c>
      <c r="C19" s="56" t="s">
        <v>353</v>
      </c>
      <c r="D19" s="260" t="s">
        <v>343</v>
      </c>
      <c r="E19" s="173">
        <v>15</v>
      </c>
      <c r="F19" s="173">
        <v>5</v>
      </c>
      <c r="G19" s="173">
        <v>5</v>
      </c>
      <c r="H19" s="173">
        <v>8</v>
      </c>
      <c r="I19" s="173">
        <v>5</v>
      </c>
      <c r="J19" s="173">
        <v>8</v>
      </c>
      <c r="K19" s="57">
        <v>5</v>
      </c>
      <c r="L19" s="57">
        <v>1</v>
      </c>
      <c r="M19" s="57">
        <f t="shared" si="1"/>
        <v>52</v>
      </c>
      <c r="N19" s="483">
        <v>20.170000000000002</v>
      </c>
      <c r="O19" s="194">
        <f t="shared" si="2"/>
        <v>302.55</v>
      </c>
      <c r="P19" s="194">
        <f t="shared" si="3"/>
        <v>100.85000000000001</v>
      </c>
      <c r="Q19" s="194">
        <f t="shared" si="4"/>
        <v>100.85000000000001</v>
      </c>
      <c r="R19" s="194">
        <f t="shared" si="5"/>
        <v>161.36000000000001</v>
      </c>
      <c r="S19" s="194">
        <f t="shared" si="6"/>
        <v>100.85000000000001</v>
      </c>
      <c r="T19" s="194">
        <f t="shared" si="7"/>
        <v>161.36000000000001</v>
      </c>
      <c r="U19" s="194">
        <f t="shared" si="8"/>
        <v>100.85000000000001</v>
      </c>
      <c r="V19" s="239">
        <f t="shared" si="9"/>
        <v>20.170000000000002</v>
      </c>
    </row>
    <row r="20" spans="1:22">
      <c r="A20" s="180">
        <v>11</v>
      </c>
      <c r="B20" s="258" t="s">
        <v>356</v>
      </c>
      <c r="C20" s="197" t="s">
        <v>357</v>
      </c>
      <c r="D20" s="261" t="s">
        <v>263</v>
      </c>
      <c r="E20" s="173">
        <v>5</v>
      </c>
      <c r="F20" s="173">
        <v>1</v>
      </c>
      <c r="G20" s="173">
        <v>1</v>
      </c>
      <c r="H20" s="173">
        <v>4</v>
      </c>
      <c r="I20" s="173">
        <v>1</v>
      </c>
      <c r="J20" s="173">
        <v>4</v>
      </c>
      <c r="K20" s="173">
        <v>3</v>
      </c>
      <c r="L20" s="173">
        <v>2</v>
      </c>
      <c r="M20" s="173">
        <f t="shared" si="1"/>
        <v>21</v>
      </c>
      <c r="N20" s="483">
        <v>2.81</v>
      </c>
      <c r="O20" s="194">
        <f t="shared" si="2"/>
        <v>14.05</v>
      </c>
      <c r="P20" s="194">
        <f t="shared" si="3"/>
        <v>2.81</v>
      </c>
      <c r="Q20" s="194">
        <f t="shared" si="4"/>
        <v>2.81</v>
      </c>
      <c r="R20" s="194">
        <f t="shared" si="5"/>
        <v>11.24</v>
      </c>
      <c r="S20" s="194">
        <f t="shared" si="6"/>
        <v>2.81</v>
      </c>
      <c r="T20" s="194">
        <f t="shared" si="7"/>
        <v>11.24</v>
      </c>
      <c r="U20" s="194">
        <f t="shared" si="8"/>
        <v>8.43</v>
      </c>
      <c r="V20" s="239">
        <f t="shared" si="9"/>
        <v>5.62</v>
      </c>
    </row>
    <row r="21" spans="1:22" ht="28.8">
      <c r="A21" s="302">
        <v>12</v>
      </c>
      <c r="B21" s="258" t="s">
        <v>358</v>
      </c>
      <c r="C21" s="197" t="s">
        <v>359</v>
      </c>
      <c r="D21" s="261" t="s">
        <v>360</v>
      </c>
      <c r="E21" s="173">
        <v>10</v>
      </c>
      <c r="F21" s="173">
        <v>2</v>
      </c>
      <c r="G21" s="173">
        <v>4</v>
      </c>
      <c r="H21" s="173">
        <v>10</v>
      </c>
      <c r="I21" s="173">
        <v>2</v>
      </c>
      <c r="J21" s="173">
        <v>10</v>
      </c>
      <c r="K21" s="173">
        <v>3</v>
      </c>
      <c r="L21" s="173">
        <v>4</v>
      </c>
      <c r="M21" s="173">
        <f t="shared" si="1"/>
        <v>45</v>
      </c>
      <c r="N21" s="483">
        <v>5.0999999999999996</v>
      </c>
      <c r="O21" s="194">
        <f t="shared" si="2"/>
        <v>51</v>
      </c>
      <c r="P21" s="194">
        <f t="shared" si="3"/>
        <v>10.199999999999999</v>
      </c>
      <c r="Q21" s="194">
        <f t="shared" si="4"/>
        <v>20.399999999999999</v>
      </c>
      <c r="R21" s="194">
        <f t="shared" si="5"/>
        <v>51</v>
      </c>
      <c r="S21" s="194">
        <f t="shared" si="6"/>
        <v>10.199999999999999</v>
      </c>
      <c r="T21" s="194">
        <f t="shared" si="7"/>
        <v>51</v>
      </c>
      <c r="U21" s="194">
        <f t="shared" si="8"/>
        <v>15.299999999999999</v>
      </c>
      <c r="V21" s="239">
        <f t="shared" si="9"/>
        <v>20.399999999999999</v>
      </c>
    </row>
    <row r="22" spans="1:22" ht="72">
      <c r="A22" s="180">
        <v>13</v>
      </c>
      <c r="B22" s="257" t="s">
        <v>361</v>
      </c>
      <c r="C22" s="56" t="s">
        <v>362</v>
      </c>
      <c r="D22" s="260" t="s">
        <v>360</v>
      </c>
      <c r="E22" s="57">
        <v>30</v>
      </c>
      <c r="F22" s="57">
        <v>5</v>
      </c>
      <c r="G22" s="57">
        <v>12</v>
      </c>
      <c r="H22" s="57">
        <v>10</v>
      </c>
      <c r="I22" s="57">
        <v>5</v>
      </c>
      <c r="J22" s="57">
        <v>10</v>
      </c>
      <c r="K22" s="57">
        <v>5</v>
      </c>
      <c r="L22" s="57">
        <v>10</v>
      </c>
      <c r="M22" s="57">
        <f t="shared" si="1"/>
        <v>87</v>
      </c>
      <c r="N22" s="483">
        <v>2.27</v>
      </c>
      <c r="O22" s="194">
        <f t="shared" si="2"/>
        <v>68.099999999999994</v>
      </c>
      <c r="P22" s="194">
        <f t="shared" si="3"/>
        <v>11.35</v>
      </c>
      <c r="Q22" s="194">
        <f t="shared" si="4"/>
        <v>27.240000000000002</v>
      </c>
      <c r="R22" s="194">
        <f t="shared" si="5"/>
        <v>22.7</v>
      </c>
      <c r="S22" s="194">
        <f t="shared" si="6"/>
        <v>11.35</v>
      </c>
      <c r="T22" s="194">
        <f t="shared" si="7"/>
        <v>22.7</v>
      </c>
      <c r="U22" s="194">
        <f t="shared" si="8"/>
        <v>11.35</v>
      </c>
      <c r="V22" s="239">
        <f t="shared" si="9"/>
        <v>22.7</v>
      </c>
    </row>
    <row r="23" spans="1:22" ht="28.8">
      <c r="A23" s="180">
        <v>14</v>
      </c>
      <c r="B23" s="286" t="s">
        <v>500</v>
      </c>
      <c r="C23" s="56" t="s">
        <v>634</v>
      </c>
      <c r="D23" s="260" t="s">
        <v>263</v>
      </c>
      <c r="E23" s="57">
        <v>20</v>
      </c>
      <c r="F23" s="57">
        <v>10</v>
      </c>
      <c r="G23" s="57">
        <v>6</v>
      </c>
      <c r="H23" s="57">
        <v>20</v>
      </c>
      <c r="I23" s="57">
        <v>10</v>
      </c>
      <c r="J23" s="57">
        <v>5</v>
      </c>
      <c r="K23" s="57">
        <v>5</v>
      </c>
      <c r="L23" s="57">
        <v>4</v>
      </c>
      <c r="M23" s="57">
        <f t="shared" si="1"/>
        <v>80</v>
      </c>
      <c r="N23" s="485">
        <v>1.97</v>
      </c>
      <c r="O23" s="194">
        <f t="shared" si="2"/>
        <v>39.4</v>
      </c>
      <c r="P23" s="194">
        <f t="shared" si="3"/>
        <v>19.7</v>
      </c>
      <c r="Q23" s="194">
        <f t="shared" si="4"/>
        <v>11.82</v>
      </c>
      <c r="R23" s="194">
        <f t="shared" si="5"/>
        <v>39.4</v>
      </c>
      <c r="S23" s="194">
        <f t="shared" si="6"/>
        <v>19.7</v>
      </c>
      <c r="T23" s="194">
        <f t="shared" si="7"/>
        <v>9.85</v>
      </c>
      <c r="U23" s="194">
        <f t="shared" si="8"/>
        <v>9.85</v>
      </c>
      <c r="V23" s="239">
        <f t="shared" si="9"/>
        <v>7.88</v>
      </c>
    </row>
    <row r="24" spans="1:22" ht="72">
      <c r="A24" s="180">
        <v>15</v>
      </c>
      <c r="B24" s="257" t="s">
        <v>363</v>
      </c>
      <c r="C24" s="56" t="s">
        <v>364</v>
      </c>
      <c r="D24" s="260" t="s">
        <v>355</v>
      </c>
      <c r="E24" s="173">
        <v>4</v>
      </c>
      <c r="F24" s="173">
        <v>1</v>
      </c>
      <c r="G24" s="173">
        <v>1</v>
      </c>
      <c r="H24" s="173">
        <v>6</v>
      </c>
      <c r="I24" s="173">
        <v>1</v>
      </c>
      <c r="J24" s="173">
        <v>5</v>
      </c>
      <c r="K24" s="173">
        <v>1</v>
      </c>
      <c r="L24" s="173">
        <v>2</v>
      </c>
      <c r="M24" s="57">
        <f t="shared" si="1"/>
        <v>21</v>
      </c>
      <c r="N24" s="483">
        <v>2.14</v>
      </c>
      <c r="O24" s="194">
        <f t="shared" si="2"/>
        <v>8.56</v>
      </c>
      <c r="P24" s="194">
        <f t="shared" si="3"/>
        <v>2.14</v>
      </c>
      <c r="Q24" s="194">
        <f t="shared" si="4"/>
        <v>2.14</v>
      </c>
      <c r="R24" s="194">
        <f t="shared" si="5"/>
        <v>12.84</v>
      </c>
      <c r="S24" s="194">
        <f t="shared" si="6"/>
        <v>2.14</v>
      </c>
      <c r="T24" s="194">
        <f t="shared" si="7"/>
        <v>10.700000000000001</v>
      </c>
      <c r="U24" s="194">
        <f t="shared" si="8"/>
        <v>2.14</v>
      </c>
      <c r="V24" s="239">
        <f t="shared" si="9"/>
        <v>4.28</v>
      </c>
    </row>
    <row r="25" spans="1:22" ht="28.8">
      <c r="A25" s="180">
        <v>16</v>
      </c>
      <c r="B25" s="257" t="s">
        <v>365</v>
      </c>
      <c r="C25" s="56" t="s">
        <v>366</v>
      </c>
      <c r="D25" s="260" t="s">
        <v>343</v>
      </c>
      <c r="E25" s="57">
        <v>4</v>
      </c>
      <c r="F25" s="57">
        <v>2</v>
      </c>
      <c r="G25" s="57">
        <v>2</v>
      </c>
      <c r="H25" s="57">
        <v>10</v>
      </c>
      <c r="I25" s="57">
        <v>2</v>
      </c>
      <c r="J25" s="57">
        <v>2</v>
      </c>
      <c r="K25" s="57">
        <v>1</v>
      </c>
      <c r="L25" s="57">
        <v>2</v>
      </c>
      <c r="M25" s="57">
        <f t="shared" si="1"/>
        <v>25</v>
      </c>
      <c r="N25" s="483">
        <v>26.65</v>
      </c>
      <c r="O25" s="194">
        <f t="shared" si="2"/>
        <v>106.6</v>
      </c>
      <c r="P25" s="194">
        <f t="shared" si="3"/>
        <v>53.3</v>
      </c>
      <c r="Q25" s="194">
        <f t="shared" si="4"/>
        <v>53.3</v>
      </c>
      <c r="R25" s="194">
        <f t="shared" si="5"/>
        <v>266.5</v>
      </c>
      <c r="S25" s="194">
        <f t="shared" si="6"/>
        <v>53.3</v>
      </c>
      <c r="T25" s="194">
        <f t="shared" si="7"/>
        <v>53.3</v>
      </c>
      <c r="U25" s="194">
        <f t="shared" si="8"/>
        <v>26.65</v>
      </c>
      <c r="V25" s="239">
        <f t="shared" si="9"/>
        <v>53.3</v>
      </c>
    </row>
    <row r="26" spans="1:22" ht="57.6">
      <c r="A26" s="180">
        <v>17</v>
      </c>
      <c r="B26" s="257" t="s">
        <v>367</v>
      </c>
      <c r="C26" s="56" t="s">
        <v>368</v>
      </c>
      <c r="D26" s="260" t="s">
        <v>355</v>
      </c>
      <c r="E26" s="57">
        <v>35</v>
      </c>
      <c r="F26" s="57">
        <v>5</v>
      </c>
      <c r="G26" s="57">
        <v>10</v>
      </c>
      <c r="H26" s="57">
        <v>24</v>
      </c>
      <c r="I26" s="57">
        <v>10</v>
      </c>
      <c r="J26" s="57">
        <v>20</v>
      </c>
      <c r="K26" s="57">
        <v>10</v>
      </c>
      <c r="L26" s="57">
        <v>10</v>
      </c>
      <c r="M26" s="57">
        <f t="shared" si="1"/>
        <v>124</v>
      </c>
      <c r="N26" s="483">
        <v>2.5</v>
      </c>
      <c r="O26" s="194">
        <f t="shared" si="2"/>
        <v>87.5</v>
      </c>
      <c r="P26" s="194">
        <f t="shared" si="3"/>
        <v>12.5</v>
      </c>
      <c r="Q26" s="194">
        <f t="shared" si="4"/>
        <v>25</v>
      </c>
      <c r="R26" s="194">
        <f t="shared" si="5"/>
        <v>60</v>
      </c>
      <c r="S26" s="194">
        <f t="shared" si="6"/>
        <v>25</v>
      </c>
      <c r="T26" s="194">
        <f t="shared" si="7"/>
        <v>50</v>
      </c>
      <c r="U26" s="194">
        <f t="shared" si="8"/>
        <v>25</v>
      </c>
      <c r="V26" s="239">
        <f t="shared" si="9"/>
        <v>25</v>
      </c>
    </row>
    <row r="27" spans="1:22" ht="28.8">
      <c r="A27" s="180">
        <v>18</v>
      </c>
      <c r="B27" s="258" t="s">
        <v>369</v>
      </c>
      <c r="C27" s="197" t="s">
        <v>370</v>
      </c>
      <c r="D27" s="261" t="s">
        <v>343</v>
      </c>
      <c r="E27" s="173">
        <v>4</v>
      </c>
      <c r="F27" s="173">
        <v>1</v>
      </c>
      <c r="G27" s="173">
        <v>1</v>
      </c>
      <c r="H27" s="173">
        <v>6</v>
      </c>
      <c r="I27" s="173">
        <v>1</v>
      </c>
      <c r="J27" s="173">
        <v>5</v>
      </c>
      <c r="K27" s="173">
        <v>2</v>
      </c>
      <c r="L27" s="173">
        <v>1</v>
      </c>
      <c r="M27" s="57">
        <f t="shared" si="1"/>
        <v>21</v>
      </c>
      <c r="N27" s="483">
        <v>18.64</v>
      </c>
      <c r="O27" s="194">
        <f t="shared" si="2"/>
        <v>74.56</v>
      </c>
      <c r="P27" s="194">
        <f t="shared" si="3"/>
        <v>18.64</v>
      </c>
      <c r="Q27" s="194">
        <f t="shared" si="4"/>
        <v>18.64</v>
      </c>
      <c r="R27" s="194">
        <f t="shared" si="5"/>
        <v>111.84</v>
      </c>
      <c r="S27" s="194">
        <f t="shared" si="6"/>
        <v>18.64</v>
      </c>
      <c r="T27" s="194">
        <f t="shared" si="7"/>
        <v>93.2</v>
      </c>
      <c r="U27" s="194">
        <f t="shared" si="8"/>
        <v>37.28</v>
      </c>
      <c r="V27" s="239">
        <f t="shared" si="9"/>
        <v>18.64</v>
      </c>
    </row>
    <row r="28" spans="1:22" ht="43.2">
      <c r="A28" s="180">
        <v>19</v>
      </c>
      <c r="B28" s="257" t="s">
        <v>371</v>
      </c>
      <c r="C28" s="56" t="s">
        <v>372</v>
      </c>
      <c r="D28" s="260" t="s">
        <v>355</v>
      </c>
      <c r="E28" s="57">
        <v>20</v>
      </c>
      <c r="F28" s="57">
        <v>2</v>
      </c>
      <c r="G28" s="57">
        <v>3</v>
      </c>
      <c r="H28" s="57">
        <v>15</v>
      </c>
      <c r="I28" s="57">
        <v>2</v>
      </c>
      <c r="J28" s="57">
        <v>10</v>
      </c>
      <c r="K28" s="57">
        <v>4</v>
      </c>
      <c r="L28" s="57">
        <v>2</v>
      </c>
      <c r="M28" s="57">
        <f t="shared" si="1"/>
        <v>58</v>
      </c>
      <c r="N28" s="483">
        <v>8.24</v>
      </c>
      <c r="O28" s="194">
        <f t="shared" si="2"/>
        <v>164.8</v>
      </c>
      <c r="P28" s="194">
        <f t="shared" si="3"/>
        <v>16.48</v>
      </c>
      <c r="Q28" s="194">
        <f t="shared" si="4"/>
        <v>24.72</v>
      </c>
      <c r="R28" s="194">
        <f t="shared" si="5"/>
        <v>123.60000000000001</v>
      </c>
      <c r="S28" s="194">
        <f t="shared" si="6"/>
        <v>16.48</v>
      </c>
      <c r="T28" s="194">
        <f t="shared" si="7"/>
        <v>82.4</v>
      </c>
      <c r="U28" s="194">
        <f t="shared" si="8"/>
        <v>32.96</v>
      </c>
      <c r="V28" s="239">
        <f t="shared" si="9"/>
        <v>16.48</v>
      </c>
    </row>
    <row r="29" spans="1:22" ht="43.2">
      <c r="A29" s="302">
        <v>20</v>
      </c>
      <c r="B29" s="258" t="s">
        <v>373</v>
      </c>
      <c r="C29" s="197" t="s">
        <v>374</v>
      </c>
      <c r="D29" s="261" t="s">
        <v>375</v>
      </c>
      <c r="E29" s="173">
        <v>40</v>
      </c>
      <c r="F29" s="173">
        <v>4</v>
      </c>
      <c r="G29" s="173">
        <v>15</v>
      </c>
      <c r="H29" s="173">
        <v>40</v>
      </c>
      <c r="I29" s="173">
        <v>10</v>
      </c>
      <c r="J29" s="173">
        <v>30</v>
      </c>
      <c r="K29" s="173">
        <v>30</v>
      </c>
      <c r="L29" s="173">
        <v>10</v>
      </c>
      <c r="M29" s="57">
        <f t="shared" si="1"/>
        <v>179</v>
      </c>
      <c r="N29" s="483">
        <v>4.75</v>
      </c>
      <c r="O29" s="194">
        <f t="shared" si="2"/>
        <v>190</v>
      </c>
      <c r="P29" s="194">
        <f t="shared" si="3"/>
        <v>19</v>
      </c>
      <c r="Q29" s="194">
        <f t="shared" si="4"/>
        <v>71.25</v>
      </c>
      <c r="R29" s="194">
        <f t="shared" si="5"/>
        <v>190</v>
      </c>
      <c r="S29" s="194">
        <f t="shared" si="6"/>
        <v>47.5</v>
      </c>
      <c r="T29" s="194">
        <f t="shared" si="7"/>
        <v>142.5</v>
      </c>
      <c r="U29" s="194">
        <f t="shared" si="8"/>
        <v>142.5</v>
      </c>
      <c r="V29" s="239">
        <f t="shared" si="9"/>
        <v>47.5</v>
      </c>
    </row>
    <row r="30" spans="1:22" ht="28.8">
      <c r="A30" s="180">
        <v>21</v>
      </c>
      <c r="B30" s="311" t="s">
        <v>506</v>
      </c>
      <c r="C30" s="197" t="s">
        <v>635</v>
      </c>
      <c r="D30" s="261" t="s">
        <v>263</v>
      </c>
      <c r="E30" s="173">
        <v>16</v>
      </c>
      <c r="F30" s="173">
        <v>1</v>
      </c>
      <c r="G30" s="310">
        <v>2</v>
      </c>
      <c r="H30" s="173">
        <v>4</v>
      </c>
      <c r="I30" s="173">
        <v>1</v>
      </c>
      <c r="J30" s="173">
        <v>0</v>
      </c>
      <c r="K30" s="173">
        <v>0</v>
      </c>
      <c r="L30" s="173">
        <v>2</v>
      </c>
      <c r="M30" s="57">
        <f>SUM(E30:L30)</f>
        <v>26</v>
      </c>
      <c r="N30" s="484">
        <v>39.36</v>
      </c>
      <c r="O30" s="178">
        <f t="shared" ref="O30:V31" si="13">$N30*E30</f>
        <v>629.76</v>
      </c>
      <c r="P30" s="178">
        <f t="shared" si="13"/>
        <v>39.36</v>
      </c>
      <c r="Q30" s="178">
        <f t="shared" si="13"/>
        <v>78.72</v>
      </c>
      <c r="R30" s="178">
        <f t="shared" si="13"/>
        <v>157.44</v>
      </c>
      <c r="S30" s="178">
        <f t="shared" si="13"/>
        <v>39.36</v>
      </c>
      <c r="T30" s="178">
        <f t="shared" si="13"/>
        <v>0</v>
      </c>
      <c r="U30" s="178">
        <f t="shared" si="13"/>
        <v>0</v>
      </c>
      <c r="V30" s="178">
        <f t="shared" si="13"/>
        <v>78.72</v>
      </c>
    </row>
    <row r="31" spans="1:22">
      <c r="A31" s="180">
        <v>22</v>
      </c>
      <c r="B31" s="257" t="s">
        <v>402</v>
      </c>
      <c r="C31" s="56" t="s">
        <v>403</v>
      </c>
      <c r="D31" s="261" t="s">
        <v>263</v>
      </c>
      <c r="E31" s="173">
        <v>0</v>
      </c>
      <c r="F31" s="173">
        <v>0</v>
      </c>
      <c r="G31" s="310">
        <v>4</v>
      </c>
      <c r="H31" s="173">
        <v>0</v>
      </c>
      <c r="I31" s="173">
        <v>0</v>
      </c>
      <c r="J31" s="173">
        <v>0</v>
      </c>
      <c r="K31" s="57">
        <v>0</v>
      </c>
      <c r="L31" s="57">
        <v>0</v>
      </c>
      <c r="M31" s="57">
        <f>SUM(E31:L31)</f>
        <v>4</v>
      </c>
      <c r="N31" s="483">
        <v>1.24</v>
      </c>
      <c r="O31" s="194">
        <f t="shared" si="13"/>
        <v>0</v>
      </c>
      <c r="P31" s="194">
        <f t="shared" si="13"/>
        <v>0</v>
      </c>
      <c r="Q31" s="194">
        <f t="shared" si="13"/>
        <v>4.96</v>
      </c>
      <c r="R31" s="194">
        <f t="shared" si="13"/>
        <v>0</v>
      </c>
      <c r="S31" s="194">
        <f t="shared" si="13"/>
        <v>0</v>
      </c>
      <c r="T31" s="194">
        <f t="shared" si="13"/>
        <v>0</v>
      </c>
      <c r="U31" s="194">
        <f t="shared" si="13"/>
        <v>0</v>
      </c>
      <c r="V31" s="239">
        <f t="shared" si="13"/>
        <v>0</v>
      </c>
    </row>
    <row r="32" spans="1:22" ht="28.8">
      <c r="A32" s="302">
        <v>23</v>
      </c>
      <c r="B32" s="258" t="s">
        <v>376</v>
      </c>
      <c r="C32" s="197" t="s">
        <v>377</v>
      </c>
      <c r="D32" s="261" t="s">
        <v>375</v>
      </c>
      <c r="E32" s="173">
        <v>40</v>
      </c>
      <c r="F32" s="173">
        <v>6</v>
      </c>
      <c r="G32" s="173">
        <v>6</v>
      </c>
      <c r="H32" s="173">
        <v>20</v>
      </c>
      <c r="I32" s="173">
        <v>10</v>
      </c>
      <c r="J32" s="173">
        <v>20</v>
      </c>
      <c r="K32" s="173">
        <v>5</v>
      </c>
      <c r="L32" s="173">
        <v>10</v>
      </c>
      <c r="M32" s="57">
        <f t="shared" si="1"/>
        <v>117</v>
      </c>
      <c r="N32" s="483">
        <v>4.07</v>
      </c>
      <c r="O32" s="194">
        <f t="shared" si="2"/>
        <v>162.80000000000001</v>
      </c>
      <c r="P32" s="194">
        <f t="shared" si="3"/>
        <v>24.42</v>
      </c>
      <c r="Q32" s="194">
        <f t="shared" si="4"/>
        <v>24.42</v>
      </c>
      <c r="R32" s="194">
        <f t="shared" si="5"/>
        <v>81.400000000000006</v>
      </c>
      <c r="S32" s="194">
        <f t="shared" si="6"/>
        <v>40.700000000000003</v>
      </c>
      <c r="T32" s="194">
        <f t="shared" si="7"/>
        <v>81.400000000000006</v>
      </c>
      <c r="U32" s="194">
        <f t="shared" si="8"/>
        <v>20.350000000000001</v>
      </c>
      <c r="V32" s="239">
        <f t="shared" si="9"/>
        <v>40.700000000000003</v>
      </c>
    </row>
    <row r="33" spans="1:22" ht="28.8">
      <c r="A33" s="180">
        <v>24</v>
      </c>
      <c r="B33" s="257" t="s">
        <v>378</v>
      </c>
      <c r="C33" s="56" t="s">
        <v>379</v>
      </c>
      <c r="D33" s="260" t="s">
        <v>263</v>
      </c>
      <c r="E33" s="57">
        <v>10</v>
      </c>
      <c r="F33" s="57">
        <v>3</v>
      </c>
      <c r="G33" s="57">
        <v>3</v>
      </c>
      <c r="H33" s="57">
        <v>3</v>
      </c>
      <c r="I33" s="57">
        <v>3</v>
      </c>
      <c r="J33" s="57">
        <v>3</v>
      </c>
      <c r="K33" s="57">
        <v>4</v>
      </c>
      <c r="L33" s="57">
        <v>4</v>
      </c>
      <c r="M33" s="57">
        <f t="shared" si="1"/>
        <v>33</v>
      </c>
      <c r="N33" s="483">
        <v>2.81</v>
      </c>
      <c r="O33" s="194">
        <f t="shared" si="2"/>
        <v>28.1</v>
      </c>
      <c r="P33" s="194">
        <f t="shared" si="3"/>
        <v>8.43</v>
      </c>
      <c r="Q33" s="194">
        <f t="shared" si="4"/>
        <v>8.43</v>
      </c>
      <c r="R33" s="194">
        <f t="shared" si="5"/>
        <v>8.43</v>
      </c>
      <c r="S33" s="194">
        <f t="shared" si="6"/>
        <v>8.43</v>
      </c>
      <c r="T33" s="194">
        <f t="shared" si="7"/>
        <v>8.43</v>
      </c>
      <c r="U33" s="194">
        <f t="shared" si="8"/>
        <v>11.24</v>
      </c>
      <c r="V33" s="239">
        <f t="shared" si="9"/>
        <v>11.24</v>
      </c>
    </row>
    <row r="34" spans="1:22" ht="28.8">
      <c r="A34" s="180">
        <v>25</v>
      </c>
      <c r="B34" s="257" t="s">
        <v>640</v>
      </c>
      <c r="C34" s="56" t="s">
        <v>380</v>
      </c>
      <c r="D34" s="260" t="s">
        <v>263</v>
      </c>
      <c r="E34" s="57">
        <v>20</v>
      </c>
      <c r="F34" s="57">
        <v>3</v>
      </c>
      <c r="G34" s="57">
        <v>3</v>
      </c>
      <c r="H34" s="57">
        <v>3</v>
      </c>
      <c r="I34" s="57">
        <v>3</v>
      </c>
      <c r="J34" s="57">
        <v>3</v>
      </c>
      <c r="K34" s="57">
        <v>3</v>
      </c>
      <c r="L34" s="57">
        <v>4</v>
      </c>
      <c r="M34" s="57">
        <f t="shared" si="1"/>
        <v>42</v>
      </c>
      <c r="N34" s="483">
        <v>3.37</v>
      </c>
      <c r="O34" s="194">
        <f t="shared" si="2"/>
        <v>67.400000000000006</v>
      </c>
      <c r="P34" s="194">
        <f t="shared" si="3"/>
        <v>10.11</v>
      </c>
      <c r="Q34" s="194">
        <f t="shared" si="4"/>
        <v>10.11</v>
      </c>
      <c r="R34" s="194">
        <f t="shared" si="5"/>
        <v>10.11</v>
      </c>
      <c r="S34" s="194">
        <f t="shared" si="6"/>
        <v>10.11</v>
      </c>
      <c r="T34" s="194">
        <f t="shared" si="7"/>
        <v>10.11</v>
      </c>
      <c r="U34" s="194">
        <f t="shared" si="8"/>
        <v>10.11</v>
      </c>
      <c r="V34" s="239">
        <f t="shared" si="9"/>
        <v>13.48</v>
      </c>
    </row>
    <row r="35" spans="1:22" ht="43.2">
      <c r="A35" s="180">
        <v>26</v>
      </c>
      <c r="B35" s="257" t="s">
        <v>381</v>
      </c>
      <c r="C35" s="56" t="s">
        <v>382</v>
      </c>
      <c r="D35" s="260" t="s">
        <v>263</v>
      </c>
      <c r="E35" s="173">
        <v>30</v>
      </c>
      <c r="F35" s="173">
        <v>6</v>
      </c>
      <c r="G35" s="173">
        <v>6</v>
      </c>
      <c r="H35" s="173">
        <v>20</v>
      </c>
      <c r="I35" s="173">
        <v>10</v>
      </c>
      <c r="J35" s="173">
        <v>20</v>
      </c>
      <c r="K35" s="173">
        <v>5</v>
      </c>
      <c r="L35" s="173">
        <v>10</v>
      </c>
      <c r="M35" s="57">
        <f t="shared" si="1"/>
        <v>107</v>
      </c>
      <c r="N35" s="483">
        <v>2.31</v>
      </c>
      <c r="O35" s="194">
        <f t="shared" si="2"/>
        <v>69.3</v>
      </c>
      <c r="P35" s="194">
        <f t="shared" si="3"/>
        <v>13.86</v>
      </c>
      <c r="Q35" s="194">
        <f t="shared" si="4"/>
        <v>13.86</v>
      </c>
      <c r="R35" s="194">
        <f t="shared" si="5"/>
        <v>46.2</v>
      </c>
      <c r="S35" s="194">
        <f t="shared" si="6"/>
        <v>23.1</v>
      </c>
      <c r="T35" s="194">
        <f t="shared" si="7"/>
        <v>46.2</v>
      </c>
      <c r="U35" s="194">
        <f t="shared" si="8"/>
        <v>11.55</v>
      </c>
      <c r="V35" s="239">
        <f t="shared" si="9"/>
        <v>23.1</v>
      </c>
    </row>
    <row r="36" spans="1:22" ht="28.8">
      <c r="A36" s="180">
        <v>27</v>
      </c>
      <c r="B36" s="257" t="s">
        <v>383</v>
      </c>
      <c r="C36" s="56" t="s">
        <v>384</v>
      </c>
      <c r="D36" s="260" t="s">
        <v>263</v>
      </c>
      <c r="E36" s="57">
        <v>3</v>
      </c>
      <c r="F36" s="57">
        <v>3</v>
      </c>
      <c r="G36" s="57">
        <v>4</v>
      </c>
      <c r="H36" s="57">
        <v>6</v>
      </c>
      <c r="I36" s="57">
        <v>3</v>
      </c>
      <c r="J36" s="57">
        <v>6</v>
      </c>
      <c r="K36" s="57">
        <v>5</v>
      </c>
      <c r="L36" s="57">
        <v>6</v>
      </c>
      <c r="M36" s="57">
        <f t="shared" si="1"/>
        <v>36</v>
      </c>
      <c r="N36" s="483">
        <v>4.34</v>
      </c>
      <c r="O36" s="194">
        <f t="shared" si="2"/>
        <v>13.02</v>
      </c>
      <c r="P36" s="194">
        <f t="shared" si="3"/>
        <v>13.02</v>
      </c>
      <c r="Q36" s="194">
        <f t="shared" si="4"/>
        <v>17.36</v>
      </c>
      <c r="R36" s="194">
        <f t="shared" si="5"/>
        <v>26.04</v>
      </c>
      <c r="S36" s="194">
        <f t="shared" si="6"/>
        <v>13.02</v>
      </c>
      <c r="T36" s="194">
        <f t="shared" si="7"/>
        <v>26.04</v>
      </c>
      <c r="U36" s="194">
        <f t="shared" si="8"/>
        <v>21.7</v>
      </c>
      <c r="V36" s="239">
        <f t="shared" si="9"/>
        <v>26.04</v>
      </c>
    </row>
    <row r="37" spans="1:22" ht="28.8">
      <c r="A37" s="180">
        <v>28</v>
      </c>
      <c r="B37" s="257" t="s">
        <v>385</v>
      </c>
      <c r="C37" s="56" t="s">
        <v>386</v>
      </c>
      <c r="D37" s="260" t="s">
        <v>387</v>
      </c>
      <c r="E37" s="57">
        <v>2</v>
      </c>
      <c r="F37" s="57">
        <v>1</v>
      </c>
      <c r="G37" s="57">
        <v>1</v>
      </c>
      <c r="H37" s="57">
        <v>12</v>
      </c>
      <c r="I37" s="57">
        <v>2</v>
      </c>
      <c r="J37" s="57">
        <v>5</v>
      </c>
      <c r="K37" s="57">
        <v>1</v>
      </c>
      <c r="L37" s="57">
        <v>2</v>
      </c>
      <c r="M37" s="57">
        <f t="shared" si="1"/>
        <v>26</v>
      </c>
      <c r="N37" s="483">
        <v>5.8</v>
      </c>
      <c r="O37" s="194">
        <f t="shared" si="2"/>
        <v>11.6</v>
      </c>
      <c r="P37" s="194">
        <f t="shared" si="3"/>
        <v>5.8</v>
      </c>
      <c r="Q37" s="194">
        <f t="shared" si="4"/>
        <v>5.8</v>
      </c>
      <c r="R37" s="194">
        <f t="shared" si="5"/>
        <v>69.599999999999994</v>
      </c>
      <c r="S37" s="194">
        <f t="shared" si="6"/>
        <v>11.6</v>
      </c>
      <c r="T37" s="194">
        <f t="shared" si="7"/>
        <v>29</v>
      </c>
      <c r="U37" s="194">
        <f t="shared" si="8"/>
        <v>5.8</v>
      </c>
      <c r="V37" s="239">
        <f t="shared" si="9"/>
        <v>11.6</v>
      </c>
    </row>
    <row r="38" spans="1:22" ht="43.2">
      <c r="A38" s="180">
        <v>29</v>
      </c>
      <c r="B38" s="257" t="s">
        <v>388</v>
      </c>
      <c r="C38" s="56" t="s">
        <v>389</v>
      </c>
      <c r="D38" s="260" t="s">
        <v>390</v>
      </c>
      <c r="E38" s="57">
        <v>70</v>
      </c>
      <c r="F38" s="57">
        <v>5</v>
      </c>
      <c r="G38" s="57">
        <v>20</v>
      </c>
      <c r="H38" s="57">
        <v>60</v>
      </c>
      <c r="I38" s="173">
        <v>60</v>
      </c>
      <c r="J38" s="57">
        <v>20</v>
      </c>
      <c r="K38" s="57">
        <v>10</v>
      </c>
      <c r="L38" s="57">
        <v>10</v>
      </c>
      <c r="M38" s="57">
        <f t="shared" si="1"/>
        <v>255</v>
      </c>
      <c r="N38" s="483">
        <v>3.44</v>
      </c>
      <c r="O38" s="194">
        <f t="shared" si="2"/>
        <v>240.79999999999998</v>
      </c>
      <c r="P38" s="194">
        <f t="shared" si="3"/>
        <v>17.2</v>
      </c>
      <c r="Q38" s="194">
        <f t="shared" si="4"/>
        <v>68.8</v>
      </c>
      <c r="R38" s="194">
        <f t="shared" si="5"/>
        <v>206.4</v>
      </c>
      <c r="S38" s="194">
        <f t="shared" si="6"/>
        <v>206.4</v>
      </c>
      <c r="T38" s="194">
        <f t="shared" si="7"/>
        <v>68.8</v>
      </c>
      <c r="U38" s="194">
        <f t="shared" si="8"/>
        <v>34.4</v>
      </c>
      <c r="V38" s="239">
        <f t="shared" si="9"/>
        <v>34.4</v>
      </c>
    </row>
    <row r="39" spans="1:22" ht="28.8">
      <c r="A39" s="180">
        <v>30</v>
      </c>
      <c r="B39" s="257" t="s">
        <v>391</v>
      </c>
      <c r="C39" s="56" t="s">
        <v>392</v>
      </c>
      <c r="D39" s="261" t="s">
        <v>345</v>
      </c>
      <c r="E39" s="173">
        <v>2</v>
      </c>
      <c r="F39" s="173">
        <v>2</v>
      </c>
      <c r="G39" s="173">
        <v>2</v>
      </c>
      <c r="H39" s="173">
        <v>5</v>
      </c>
      <c r="I39" s="173">
        <v>2</v>
      </c>
      <c r="J39" s="173">
        <v>3</v>
      </c>
      <c r="K39" s="173">
        <v>0</v>
      </c>
      <c r="L39" s="173">
        <v>1</v>
      </c>
      <c r="M39" s="57">
        <f t="shared" si="1"/>
        <v>17</v>
      </c>
      <c r="N39" s="483">
        <v>17.22</v>
      </c>
      <c r="O39" s="194">
        <f t="shared" si="2"/>
        <v>34.44</v>
      </c>
      <c r="P39" s="194">
        <f t="shared" si="3"/>
        <v>34.44</v>
      </c>
      <c r="Q39" s="194">
        <f t="shared" si="4"/>
        <v>34.44</v>
      </c>
      <c r="R39" s="194">
        <f t="shared" si="5"/>
        <v>86.1</v>
      </c>
      <c r="S39" s="194">
        <f t="shared" si="6"/>
        <v>34.44</v>
      </c>
      <c r="T39" s="194">
        <f t="shared" si="7"/>
        <v>51.66</v>
      </c>
      <c r="U39" s="194">
        <f t="shared" si="8"/>
        <v>0</v>
      </c>
      <c r="V39" s="239">
        <f t="shared" si="9"/>
        <v>17.22</v>
      </c>
    </row>
    <row r="40" spans="1:22" ht="43.2">
      <c r="A40" s="180">
        <v>31</v>
      </c>
      <c r="B40" s="257" t="s">
        <v>393</v>
      </c>
      <c r="C40" s="56" t="s">
        <v>394</v>
      </c>
      <c r="D40" s="260" t="s">
        <v>395</v>
      </c>
      <c r="E40" s="57">
        <v>6</v>
      </c>
      <c r="F40" s="57">
        <v>1</v>
      </c>
      <c r="G40" s="238">
        <v>3</v>
      </c>
      <c r="H40" s="57">
        <v>10</v>
      </c>
      <c r="I40" s="57">
        <v>3</v>
      </c>
      <c r="J40" s="57">
        <v>6</v>
      </c>
      <c r="K40" s="57">
        <v>1</v>
      </c>
      <c r="L40" s="57">
        <v>2</v>
      </c>
      <c r="M40" s="57">
        <f t="shared" si="1"/>
        <v>32</v>
      </c>
      <c r="N40" s="483">
        <v>7.33</v>
      </c>
      <c r="O40" s="194">
        <f t="shared" si="2"/>
        <v>43.980000000000004</v>
      </c>
      <c r="P40" s="194">
        <f t="shared" si="3"/>
        <v>7.33</v>
      </c>
      <c r="Q40" s="194">
        <f t="shared" si="4"/>
        <v>21.990000000000002</v>
      </c>
      <c r="R40" s="194">
        <f t="shared" si="5"/>
        <v>73.3</v>
      </c>
      <c r="S40" s="194">
        <f t="shared" si="6"/>
        <v>21.990000000000002</v>
      </c>
      <c r="T40" s="194">
        <f t="shared" si="7"/>
        <v>43.980000000000004</v>
      </c>
      <c r="U40" s="194">
        <f t="shared" si="8"/>
        <v>7.33</v>
      </c>
      <c r="V40" s="239">
        <f t="shared" si="9"/>
        <v>14.66</v>
      </c>
    </row>
    <row r="41" spans="1:22" ht="86.4">
      <c r="A41" s="180">
        <v>32</v>
      </c>
      <c r="B41" s="257" t="s">
        <v>396</v>
      </c>
      <c r="C41" s="56" t="s">
        <v>397</v>
      </c>
      <c r="D41" s="260" t="s">
        <v>398</v>
      </c>
      <c r="E41" s="57">
        <v>10</v>
      </c>
      <c r="F41" s="57">
        <v>1</v>
      </c>
      <c r="G41" s="57">
        <v>3</v>
      </c>
      <c r="H41" s="57">
        <v>5</v>
      </c>
      <c r="I41" s="57">
        <v>3</v>
      </c>
      <c r="J41" s="57">
        <v>5</v>
      </c>
      <c r="K41" s="57">
        <v>2</v>
      </c>
      <c r="L41" s="57">
        <v>3</v>
      </c>
      <c r="M41" s="57">
        <f t="shared" si="1"/>
        <v>32</v>
      </c>
      <c r="N41" s="483">
        <v>3.84</v>
      </c>
      <c r="O41" s="194">
        <f t="shared" si="2"/>
        <v>38.4</v>
      </c>
      <c r="P41" s="194">
        <f t="shared" si="3"/>
        <v>3.84</v>
      </c>
      <c r="Q41" s="194">
        <f t="shared" si="4"/>
        <v>11.52</v>
      </c>
      <c r="R41" s="194">
        <f t="shared" si="5"/>
        <v>19.2</v>
      </c>
      <c r="S41" s="194">
        <f t="shared" si="6"/>
        <v>11.52</v>
      </c>
      <c r="T41" s="194">
        <f t="shared" si="7"/>
        <v>19.2</v>
      </c>
      <c r="U41" s="194">
        <f t="shared" si="8"/>
        <v>7.68</v>
      </c>
      <c r="V41" s="239">
        <f t="shared" si="9"/>
        <v>11.52</v>
      </c>
    </row>
    <row r="42" spans="1:22" ht="43.2">
      <c r="A42" s="180">
        <v>33</v>
      </c>
      <c r="B42" s="257" t="s">
        <v>641</v>
      </c>
      <c r="C42" s="56" t="s">
        <v>404</v>
      </c>
      <c r="D42" s="260" t="s">
        <v>405</v>
      </c>
      <c r="E42" s="57">
        <v>0</v>
      </c>
      <c r="F42" s="57">
        <v>0</v>
      </c>
      <c r="G42" s="57">
        <v>1</v>
      </c>
      <c r="H42" s="57">
        <v>0</v>
      </c>
      <c r="I42" s="57">
        <v>0</v>
      </c>
      <c r="J42" s="57">
        <v>0</v>
      </c>
      <c r="K42" s="57">
        <v>0</v>
      </c>
      <c r="L42" s="57">
        <v>0</v>
      </c>
      <c r="M42" s="57">
        <f t="shared" si="1"/>
        <v>1</v>
      </c>
      <c r="N42" s="483">
        <v>7.95</v>
      </c>
      <c r="O42" s="194">
        <f t="shared" si="2"/>
        <v>0</v>
      </c>
      <c r="P42" s="194">
        <f t="shared" si="3"/>
        <v>0</v>
      </c>
      <c r="Q42" s="194">
        <f t="shared" si="4"/>
        <v>7.95</v>
      </c>
      <c r="R42" s="194">
        <f t="shared" si="5"/>
        <v>0</v>
      </c>
      <c r="S42" s="194">
        <f t="shared" si="6"/>
        <v>0</v>
      </c>
      <c r="T42" s="194">
        <f t="shared" si="7"/>
        <v>0</v>
      </c>
      <c r="U42" s="194">
        <f t="shared" si="8"/>
        <v>0</v>
      </c>
      <c r="V42" s="239">
        <f t="shared" si="9"/>
        <v>0</v>
      </c>
    </row>
    <row r="43" spans="1:22" ht="43.2">
      <c r="A43" s="180">
        <v>34</v>
      </c>
      <c r="B43" s="257" t="s">
        <v>642</v>
      </c>
      <c r="C43" s="56" t="s">
        <v>406</v>
      </c>
      <c r="D43" s="260" t="s">
        <v>405</v>
      </c>
      <c r="E43" s="57">
        <v>30</v>
      </c>
      <c r="F43" s="57">
        <v>1</v>
      </c>
      <c r="G43" s="57">
        <v>1</v>
      </c>
      <c r="H43" s="57">
        <v>3</v>
      </c>
      <c r="I43" s="57">
        <v>1</v>
      </c>
      <c r="J43" s="57">
        <v>2</v>
      </c>
      <c r="K43" s="57">
        <v>2</v>
      </c>
      <c r="L43" s="57">
        <v>0</v>
      </c>
      <c r="M43" s="57">
        <f t="shared" si="1"/>
        <v>40</v>
      </c>
      <c r="N43" s="483">
        <v>8.67</v>
      </c>
      <c r="O43" s="194">
        <f t="shared" si="2"/>
        <v>260.10000000000002</v>
      </c>
      <c r="P43" s="194">
        <f t="shared" si="3"/>
        <v>8.67</v>
      </c>
      <c r="Q43" s="194">
        <f t="shared" si="4"/>
        <v>8.67</v>
      </c>
      <c r="R43" s="194">
        <f t="shared" si="5"/>
        <v>26.009999999999998</v>
      </c>
      <c r="S43" s="194">
        <f t="shared" si="6"/>
        <v>8.67</v>
      </c>
      <c r="T43" s="194">
        <f t="shared" si="7"/>
        <v>17.34</v>
      </c>
      <c r="U43" s="194">
        <f t="shared" si="8"/>
        <v>17.34</v>
      </c>
      <c r="V43" s="239">
        <f t="shared" si="9"/>
        <v>0</v>
      </c>
    </row>
    <row r="44" spans="1:22" ht="57.6">
      <c r="A44" s="180">
        <v>35</v>
      </c>
      <c r="B44" s="257" t="s">
        <v>643</v>
      </c>
      <c r="C44" s="56" t="s">
        <v>407</v>
      </c>
      <c r="D44" s="260" t="s">
        <v>405</v>
      </c>
      <c r="E44" s="57">
        <v>5</v>
      </c>
      <c r="F44" s="57">
        <v>1</v>
      </c>
      <c r="G44" s="57">
        <v>3</v>
      </c>
      <c r="H44" s="57">
        <v>3</v>
      </c>
      <c r="I44" s="57">
        <v>1</v>
      </c>
      <c r="J44" s="57">
        <v>4</v>
      </c>
      <c r="K44" s="57">
        <v>2</v>
      </c>
      <c r="L44" s="57">
        <v>6</v>
      </c>
      <c r="M44" s="57">
        <f t="shared" si="1"/>
        <v>25</v>
      </c>
      <c r="N44" s="483">
        <v>14.48</v>
      </c>
      <c r="O44" s="194">
        <f t="shared" si="2"/>
        <v>72.400000000000006</v>
      </c>
      <c r="P44" s="194">
        <f t="shared" si="3"/>
        <v>14.48</v>
      </c>
      <c r="Q44" s="194">
        <f t="shared" si="4"/>
        <v>43.44</v>
      </c>
      <c r="R44" s="194">
        <f t="shared" si="5"/>
        <v>43.44</v>
      </c>
      <c r="S44" s="194">
        <f t="shared" si="6"/>
        <v>14.48</v>
      </c>
      <c r="T44" s="194">
        <f t="shared" si="7"/>
        <v>57.92</v>
      </c>
      <c r="U44" s="194">
        <f t="shared" si="8"/>
        <v>28.96</v>
      </c>
      <c r="V44" s="239">
        <f t="shared" si="9"/>
        <v>86.88</v>
      </c>
    </row>
    <row r="45" spans="1:22" ht="57.6">
      <c r="A45" s="180">
        <v>36</v>
      </c>
      <c r="B45" s="257" t="s">
        <v>644</v>
      </c>
      <c r="C45" s="56" t="s">
        <v>408</v>
      </c>
      <c r="D45" s="260" t="s">
        <v>405</v>
      </c>
      <c r="E45" s="57">
        <v>30</v>
      </c>
      <c r="F45" s="57">
        <v>2</v>
      </c>
      <c r="G45" s="173">
        <v>3</v>
      </c>
      <c r="H45" s="173">
        <v>6</v>
      </c>
      <c r="I45" s="173">
        <v>2</v>
      </c>
      <c r="J45" s="173">
        <v>4</v>
      </c>
      <c r="K45" s="57">
        <v>2</v>
      </c>
      <c r="L45" s="57">
        <v>4</v>
      </c>
      <c r="M45" s="57">
        <f t="shared" si="1"/>
        <v>53</v>
      </c>
      <c r="N45" s="483">
        <v>25.05</v>
      </c>
      <c r="O45" s="194">
        <f t="shared" si="2"/>
        <v>751.5</v>
      </c>
      <c r="P45" s="194">
        <f t="shared" si="3"/>
        <v>50.1</v>
      </c>
      <c r="Q45" s="194">
        <f t="shared" si="4"/>
        <v>75.150000000000006</v>
      </c>
      <c r="R45" s="194">
        <f t="shared" si="5"/>
        <v>150.30000000000001</v>
      </c>
      <c r="S45" s="194">
        <f t="shared" si="6"/>
        <v>50.1</v>
      </c>
      <c r="T45" s="194">
        <f t="shared" si="7"/>
        <v>100.2</v>
      </c>
      <c r="U45" s="194">
        <f t="shared" si="8"/>
        <v>50.1</v>
      </c>
      <c r="V45" s="239">
        <f t="shared" si="9"/>
        <v>100.2</v>
      </c>
    </row>
    <row r="46" spans="1:22" ht="28.8">
      <c r="A46" s="180">
        <v>37</v>
      </c>
      <c r="B46" s="257" t="s">
        <v>409</v>
      </c>
      <c r="C46" s="56" t="s">
        <v>410</v>
      </c>
      <c r="D46" s="260" t="s">
        <v>411</v>
      </c>
      <c r="E46" s="57">
        <v>24</v>
      </c>
      <c r="F46" s="57">
        <v>3</v>
      </c>
      <c r="G46" s="173">
        <v>3</v>
      </c>
      <c r="H46" s="173">
        <v>10</v>
      </c>
      <c r="I46" s="173">
        <v>3</v>
      </c>
      <c r="J46" s="173">
        <v>15</v>
      </c>
      <c r="K46" s="57">
        <v>5</v>
      </c>
      <c r="L46" s="57">
        <v>5</v>
      </c>
      <c r="M46" s="57">
        <f t="shared" si="1"/>
        <v>68</v>
      </c>
      <c r="N46" s="483">
        <v>3.3</v>
      </c>
      <c r="O46" s="194">
        <f t="shared" si="2"/>
        <v>79.199999999999989</v>
      </c>
      <c r="P46" s="194">
        <f t="shared" si="3"/>
        <v>9.8999999999999986</v>
      </c>
      <c r="Q46" s="194">
        <f t="shared" si="4"/>
        <v>9.8999999999999986</v>
      </c>
      <c r="R46" s="194">
        <f t="shared" si="5"/>
        <v>33</v>
      </c>
      <c r="S46" s="194">
        <f t="shared" si="6"/>
        <v>9.8999999999999986</v>
      </c>
      <c r="T46" s="194">
        <f t="shared" si="7"/>
        <v>49.5</v>
      </c>
      <c r="U46" s="194">
        <f t="shared" si="8"/>
        <v>16.5</v>
      </c>
      <c r="V46" s="239">
        <f t="shared" si="9"/>
        <v>16.5</v>
      </c>
    </row>
    <row r="47" spans="1:22" ht="18.600000000000001" customHeight="1">
      <c r="A47" s="180">
        <v>38</v>
      </c>
      <c r="B47" s="259" t="s">
        <v>416</v>
      </c>
      <c r="C47" s="245" t="s">
        <v>417</v>
      </c>
      <c r="D47" s="262" t="s">
        <v>418</v>
      </c>
      <c r="E47" s="246">
        <v>0</v>
      </c>
      <c r="F47" s="246">
        <v>0</v>
      </c>
      <c r="G47" s="246">
        <v>0</v>
      </c>
      <c r="H47" s="246">
        <v>0</v>
      </c>
      <c r="I47" s="246">
        <v>0</v>
      </c>
      <c r="J47" s="246">
        <v>0</v>
      </c>
      <c r="K47" s="246">
        <v>0</v>
      </c>
      <c r="L47" s="246">
        <v>12</v>
      </c>
      <c r="M47" s="57">
        <f>SUM(E47:L47)</f>
        <v>12</v>
      </c>
      <c r="N47" s="486">
        <v>3.11</v>
      </c>
      <c r="O47" s="247">
        <f t="shared" ref="O47:V47" si="14">$N47*E47</f>
        <v>0</v>
      </c>
      <c r="P47" s="247">
        <f t="shared" si="14"/>
        <v>0</v>
      </c>
      <c r="Q47" s="247">
        <f t="shared" si="14"/>
        <v>0</v>
      </c>
      <c r="R47" s="247">
        <f t="shared" si="14"/>
        <v>0</v>
      </c>
      <c r="S47" s="247">
        <f t="shared" si="14"/>
        <v>0</v>
      </c>
      <c r="T47" s="247">
        <f t="shared" si="14"/>
        <v>0</v>
      </c>
      <c r="U47" s="247">
        <f t="shared" si="14"/>
        <v>0</v>
      </c>
      <c r="V47" s="248">
        <f t="shared" si="14"/>
        <v>37.32</v>
      </c>
    </row>
    <row r="48" spans="1:22" ht="43.2">
      <c r="A48" s="180">
        <v>39</v>
      </c>
      <c r="B48" s="257" t="s">
        <v>412</v>
      </c>
      <c r="C48" s="56" t="s">
        <v>413</v>
      </c>
      <c r="D48" s="260" t="s">
        <v>398</v>
      </c>
      <c r="E48" s="57">
        <v>1</v>
      </c>
      <c r="F48" s="57">
        <v>1</v>
      </c>
      <c r="G48" s="57">
        <v>1</v>
      </c>
      <c r="H48" s="57">
        <v>3</v>
      </c>
      <c r="I48" s="57">
        <v>1</v>
      </c>
      <c r="J48" s="57">
        <v>1</v>
      </c>
      <c r="K48" s="57">
        <v>1</v>
      </c>
      <c r="L48" s="57">
        <v>0</v>
      </c>
      <c r="M48" s="57">
        <f t="shared" si="1"/>
        <v>9</v>
      </c>
      <c r="N48" s="483">
        <v>22.25</v>
      </c>
      <c r="O48" s="194">
        <f t="shared" si="2"/>
        <v>22.25</v>
      </c>
      <c r="P48" s="194">
        <f t="shared" si="3"/>
        <v>22.25</v>
      </c>
      <c r="Q48" s="194">
        <f t="shared" si="4"/>
        <v>22.25</v>
      </c>
      <c r="R48" s="194">
        <f t="shared" si="5"/>
        <v>66.75</v>
      </c>
      <c r="S48" s="194">
        <f t="shared" si="6"/>
        <v>22.25</v>
      </c>
      <c r="T48" s="194">
        <f t="shared" si="7"/>
        <v>22.25</v>
      </c>
      <c r="U48" s="194">
        <f t="shared" si="8"/>
        <v>22.25</v>
      </c>
      <c r="V48" s="239">
        <f t="shared" si="9"/>
        <v>0</v>
      </c>
    </row>
    <row r="49" spans="1:22" ht="72">
      <c r="A49" s="180">
        <v>40</v>
      </c>
      <c r="B49" s="257" t="s">
        <v>414</v>
      </c>
      <c r="C49" s="56" t="s">
        <v>415</v>
      </c>
      <c r="D49" s="261" t="s">
        <v>263</v>
      </c>
      <c r="E49" s="173">
        <v>30</v>
      </c>
      <c r="F49" s="173">
        <v>5</v>
      </c>
      <c r="G49" s="173">
        <v>2</v>
      </c>
      <c r="H49" s="173">
        <v>30</v>
      </c>
      <c r="I49" s="173">
        <v>6</v>
      </c>
      <c r="J49" s="173">
        <v>10</v>
      </c>
      <c r="K49" s="173">
        <v>2</v>
      </c>
      <c r="L49" s="173">
        <v>0</v>
      </c>
      <c r="M49" s="57">
        <f t="shared" si="1"/>
        <v>85</v>
      </c>
      <c r="N49" s="483">
        <v>3.32</v>
      </c>
      <c r="O49" s="194">
        <f t="shared" ref="O49" si="15">$N49*E49</f>
        <v>99.6</v>
      </c>
      <c r="P49" s="194">
        <f t="shared" si="3"/>
        <v>16.599999999999998</v>
      </c>
      <c r="Q49" s="194">
        <f t="shared" si="4"/>
        <v>6.64</v>
      </c>
      <c r="R49" s="194">
        <f t="shared" si="5"/>
        <v>99.6</v>
      </c>
      <c r="S49" s="194">
        <f t="shared" si="6"/>
        <v>19.919999999999998</v>
      </c>
      <c r="T49" s="194">
        <f t="shared" si="7"/>
        <v>33.199999999999996</v>
      </c>
      <c r="U49" s="194">
        <f t="shared" si="8"/>
        <v>6.64</v>
      </c>
      <c r="V49" s="239">
        <f t="shared" si="9"/>
        <v>0</v>
      </c>
    </row>
    <row r="50" spans="1:22">
      <c r="A50" s="452" t="s">
        <v>542</v>
      </c>
      <c r="B50" s="453"/>
      <c r="C50" s="453"/>
      <c r="D50" s="453"/>
      <c r="E50" s="453"/>
      <c r="F50" s="453"/>
      <c r="G50" s="453"/>
      <c r="H50" s="453"/>
      <c r="I50" s="453"/>
      <c r="J50" s="453"/>
      <c r="K50" s="453"/>
      <c r="L50" s="453"/>
      <c r="M50" s="453"/>
      <c r="N50" s="454"/>
      <c r="O50" s="249">
        <f t="shared" ref="O50:V50" si="16">SUM(O10:O49)</f>
        <v>5579.4599999999991</v>
      </c>
      <c r="P50" s="249">
        <f t="shared" si="16"/>
        <v>809.55</v>
      </c>
      <c r="Q50" s="249">
        <f t="shared" si="16"/>
        <v>1166.43</v>
      </c>
      <c r="R50" s="249">
        <f t="shared" si="16"/>
        <v>2835.82</v>
      </c>
      <c r="S50" s="249">
        <f t="shared" si="16"/>
        <v>1106.5000000000002</v>
      </c>
      <c r="T50" s="249">
        <f t="shared" si="16"/>
        <v>1850.9800000000005</v>
      </c>
      <c r="U50" s="249">
        <f t="shared" si="16"/>
        <v>1027.8000000000002</v>
      </c>
      <c r="V50" s="249">
        <f t="shared" si="16"/>
        <v>1002.1600000000001</v>
      </c>
    </row>
    <row r="51" spans="1:22">
      <c r="A51" s="449" t="s">
        <v>337</v>
      </c>
      <c r="B51" s="450"/>
      <c r="C51" s="450"/>
      <c r="D51" s="450"/>
      <c r="E51" s="450"/>
      <c r="F51" s="450"/>
      <c r="G51" s="450"/>
      <c r="H51" s="450"/>
      <c r="I51" s="450"/>
      <c r="J51" s="450"/>
      <c r="K51" s="450"/>
      <c r="L51" s="450"/>
      <c r="M51" s="450"/>
      <c r="N51" s="451"/>
      <c r="O51" s="193">
        <f>SUM(CURITIBA!$E$18,CURITIBA!$G$18,CURITIBA!$H$18)</f>
        <v>20</v>
      </c>
      <c r="P51" s="193">
        <f>CURITIBA!$F$18</f>
        <v>1</v>
      </c>
      <c r="Q51" s="193">
        <f>SUM(GUARAPUAVA!$E$18,GUARAPUAVA!$F$18)</f>
        <v>3</v>
      </c>
      <c r="R51" s="193">
        <f>SUM(LONDRINA!$E$18,LONDRINA!$F$18)</f>
        <v>6</v>
      </c>
      <c r="S51" s="193">
        <f>LONDRINA!$G$18</f>
        <v>1</v>
      </c>
      <c r="T51" s="193">
        <f>SUM(MARINGA!$E$18:$F$18)</f>
        <v>5</v>
      </c>
      <c r="U51" s="242">
        <f>SUM(PARANAGUA!$E$18:$F$18)</f>
        <v>5</v>
      </c>
      <c r="V51" s="241">
        <f>SUM(PONTA_GROSSA!$E$18,PONTA_GROSSA!$F$18)</f>
        <v>2</v>
      </c>
    </row>
    <row r="52" spans="1:22">
      <c r="A52" s="449" t="s">
        <v>543</v>
      </c>
      <c r="B52" s="450"/>
      <c r="C52" s="450"/>
      <c r="D52" s="450"/>
      <c r="E52" s="450"/>
      <c r="F52" s="450"/>
      <c r="G52" s="450"/>
      <c r="H52" s="450"/>
      <c r="I52" s="450"/>
      <c r="J52" s="450"/>
      <c r="K52" s="450"/>
      <c r="L52" s="450"/>
      <c r="M52" s="450"/>
      <c r="N52" s="451"/>
      <c r="O52" s="192">
        <f>O50/O51</f>
        <v>278.97299999999996</v>
      </c>
      <c r="P52" s="192">
        <f t="shared" ref="P52:V52" si="17">P50/P51</f>
        <v>809.55</v>
      </c>
      <c r="Q52" s="192">
        <f t="shared" si="17"/>
        <v>388.81</v>
      </c>
      <c r="R52" s="192">
        <f t="shared" si="17"/>
        <v>472.63666666666671</v>
      </c>
      <c r="S52" s="192">
        <f t="shared" si="17"/>
        <v>1106.5000000000002</v>
      </c>
      <c r="T52" s="192">
        <f t="shared" si="17"/>
        <v>370.19600000000008</v>
      </c>
      <c r="U52" s="192">
        <f t="shared" si="17"/>
        <v>205.56000000000003</v>
      </c>
      <c r="V52" s="192">
        <f t="shared" si="17"/>
        <v>501.08000000000004</v>
      </c>
    </row>
  </sheetData>
  <sortState xmlns:xlrd2="http://schemas.microsoft.com/office/spreadsheetml/2017/richdata2" ref="A42:V49">
    <sortCondition ref="C42:C49"/>
  </sortState>
  <mergeCells count="18">
    <mergeCell ref="A1:V2"/>
    <mergeCell ref="A4:V4"/>
    <mergeCell ref="A5:V5"/>
    <mergeCell ref="O8:P8"/>
    <mergeCell ref="O7:V7"/>
    <mergeCell ref="R8:S8"/>
    <mergeCell ref="N7:N9"/>
    <mergeCell ref="A7:D7"/>
    <mergeCell ref="D8:D9"/>
    <mergeCell ref="C8:C9"/>
    <mergeCell ref="B8:B9"/>
    <mergeCell ref="A8:A9"/>
    <mergeCell ref="M8:M9"/>
    <mergeCell ref="H8:I8"/>
    <mergeCell ref="E7:M7"/>
    <mergeCell ref="A51:N51"/>
    <mergeCell ref="A52:N52"/>
    <mergeCell ref="A50:N50"/>
  </mergeCells>
  <printOptions horizontalCentered="1"/>
  <pageMargins left="0.25" right="0.25" top="0.75" bottom="0.75" header="0.3" footer="0.3"/>
  <pageSetup paperSize="3" scale="59" fitToHeight="0" orientation="landscape" r:id="rId1"/>
  <headerFooter>
    <oddFooter>&amp;C&amp;A
&amp;P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81827-CAF6-4616-A0AF-7E458E71EBD2}">
  <sheetPr>
    <pageSetUpPr fitToPage="1"/>
  </sheetPr>
  <dimension ref="A1:Y22"/>
  <sheetViews>
    <sheetView showGridLines="0" view="pageBreakPreview" zoomScale="70" zoomScaleNormal="60" zoomScaleSheetLayoutView="70" workbookViewId="0">
      <selection activeCell="I14" sqref="I14"/>
    </sheetView>
  </sheetViews>
  <sheetFormatPr defaultColWidth="9.44140625" defaultRowHeight="15" customHeight="1"/>
  <cols>
    <col min="1" max="1" width="6.5546875" style="168" customWidth="1"/>
    <col min="2" max="2" width="63.109375" style="171" customWidth="1"/>
    <col min="3" max="3" width="18.5546875" style="172" customWidth="1"/>
    <col min="4" max="4" width="29.88671875" style="168" bestFit="1" customWidth="1"/>
    <col min="5" max="5" width="11.88671875" style="168" customWidth="1"/>
    <col min="6" max="6" width="7.44140625" style="168" customWidth="1"/>
    <col min="7" max="7" width="12" style="168" customWidth="1"/>
    <col min="8" max="8" width="9" style="168" bestFit="1" customWidth="1"/>
    <col min="9" max="9" width="9.33203125" style="168" customWidth="1"/>
    <col min="10" max="10" width="11.33203125" style="168" customWidth="1"/>
    <col min="11" max="11" width="11.6640625" style="168" customWidth="1"/>
    <col min="12" max="12" width="13" style="168" customWidth="1"/>
    <col min="13" max="13" width="19.5546875" style="168" customWidth="1"/>
    <col min="14" max="14" width="9.88671875" style="168" customWidth="1"/>
    <col min="15" max="15" width="7" style="168" customWidth="1"/>
    <col min="16" max="16" width="11.44140625" style="168" customWidth="1"/>
    <col min="17" max="17" width="9.33203125" style="168" customWidth="1"/>
    <col min="18" max="18" width="7.5546875" style="168" customWidth="1"/>
    <col min="19" max="19" width="10.109375" style="168" bestFit="1" customWidth="1"/>
    <col min="20" max="20" width="12.88671875" style="168" customWidth="1"/>
    <col min="21" max="21" width="13.88671875" style="168" customWidth="1"/>
    <col min="22" max="22" width="16" style="168" customWidth="1"/>
    <col min="23" max="23" width="15.44140625" style="139" customWidth="1"/>
    <col min="24" max="24" width="28.21875" style="139" customWidth="1"/>
    <col min="25" max="16384" width="9.44140625" style="139"/>
  </cols>
  <sheetData>
    <row r="1" spans="1:25" ht="15" customHeight="1">
      <c r="A1" s="320" t="s">
        <v>10</v>
      </c>
      <c r="B1" s="320"/>
      <c r="C1" s="320"/>
      <c r="D1" s="320"/>
      <c r="E1" s="320"/>
      <c r="F1" s="320"/>
      <c r="G1" s="320"/>
      <c r="H1" s="320"/>
      <c r="I1" s="320"/>
      <c r="J1" s="320"/>
      <c r="K1" s="320"/>
      <c r="L1" s="320"/>
      <c r="M1" s="320"/>
      <c r="N1" s="320"/>
      <c r="O1" s="320"/>
      <c r="P1" s="320"/>
      <c r="Q1" s="320"/>
      <c r="R1" s="320"/>
      <c r="S1" s="320"/>
      <c r="T1" s="320"/>
      <c r="U1" s="320"/>
      <c r="V1" s="320"/>
      <c r="W1" s="320"/>
      <c r="X1" s="320"/>
    </row>
    <row r="2" spans="1:25" ht="15" customHeight="1">
      <c r="A2" s="320"/>
      <c r="B2" s="320"/>
      <c r="C2" s="320"/>
      <c r="D2" s="320"/>
      <c r="E2" s="320"/>
      <c r="F2" s="320"/>
      <c r="G2" s="320"/>
      <c r="H2" s="320"/>
      <c r="I2" s="320"/>
      <c r="J2" s="320"/>
      <c r="K2" s="320"/>
      <c r="L2" s="320"/>
      <c r="M2" s="320"/>
      <c r="N2" s="320"/>
      <c r="O2" s="320"/>
      <c r="P2" s="320"/>
      <c r="Q2" s="320"/>
      <c r="R2" s="320"/>
      <c r="S2" s="320"/>
      <c r="T2" s="320"/>
      <c r="U2" s="320"/>
      <c r="V2" s="320"/>
      <c r="W2" s="320"/>
      <c r="X2" s="320"/>
    </row>
    <row r="3" spans="1:25" ht="15.6">
      <c r="A3" s="2"/>
      <c r="B3" s="2"/>
      <c r="C3" s="2"/>
      <c r="D3" s="2"/>
      <c r="E3" s="2"/>
      <c r="F3" s="2"/>
      <c r="G3" s="2"/>
      <c r="H3" s="2"/>
      <c r="I3" s="2"/>
      <c r="J3" s="2"/>
      <c r="K3" s="2"/>
      <c r="L3" s="2"/>
      <c r="M3" s="2"/>
      <c r="N3" s="2"/>
      <c r="O3" s="2"/>
    </row>
    <row r="4" spans="1:25" ht="15.6">
      <c r="A4" s="321" t="str">
        <f>PROPOSTA_GLOBAL!A4</f>
        <v>SUPERINTENDÊNCIA REGIONAL DA POLÍCIA FEDERAL NO PARANÁ</v>
      </c>
      <c r="B4" s="321"/>
      <c r="C4" s="321"/>
      <c r="D4" s="321"/>
      <c r="E4" s="321"/>
      <c r="F4" s="321"/>
      <c r="G4" s="321"/>
      <c r="H4" s="321"/>
      <c r="I4" s="321"/>
      <c r="J4" s="321"/>
      <c r="K4" s="321"/>
      <c r="L4" s="321"/>
      <c r="M4" s="321"/>
      <c r="N4" s="321"/>
      <c r="O4" s="321"/>
      <c r="P4" s="321"/>
      <c r="Q4" s="321"/>
      <c r="R4" s="321"/>
      <c r="S4" s="321"/>
      <c r="T4" s="321"/>
      <c r="U4" s="321"/>
      <c r="V4" s="321"/>
      <c r="W4" s="321"/>
      <c r="X4" s="321"/>
    </row>
    <row r="5" spans="1:25" ht="15.6">
      <c r="A5" s="321" t="str">
        <f>PROPOSTA_GLOBAL!A5</f>
        <v>PROCESSO ADMINISTRATIVO SEI Nº 08385.000837/2025-50</v>
      </c>
      <c r="B5" s="321"/>
      <c r="C5" s="321"/>
      <c r="D5" s="321"/>
      <c r="E5" s="321"/>
      <c r="F5" s="321"/>
      <c r="G5" s="321"/>
      <c r="H5" s="321"/>
      <c r="I5" s="321"/>
      <c r="J5" s="321"/>
      <c r="K5" s="321"/>
      <c r="L5" s="321"/>
      <c r="M5" s="321"/>
      <c r="N5" s="321"/>
      <c r="O5" s="321"/>
      <c r="P5" s="321"/>
      <c r="Q5" s="321"/>
      <c r="R5" s="321"/>
      <c r="S5" s="321"/>
      <c r="T5" s="321"/>
      <c r="U5" s="321"/>
      <c r="V5" s="321"/>
      <c r="W5" s="321"/>
      <c r="X5" s="321"/>
    </row>
    <row r="6" spans="1:25" ht="14.4">
      <c r="A6" s="167"/>
      <c r="B6" s="169"/>
      <c r="C6" s="24"/>
      <c r="D6" s="23"/>
      <c r="E6" s="23"/>
      <c r="F6" s="23"/>
      <c r="G6" s="23"/>
      <c r="H6" s="23"/>
      <c r="I6" s="23"/>
      <c r="J6" s="23"/>
      <c r="K6" s="23"/>
      <c r="L6" s="23"/>
      <c r="M6" s="23"/>
    </row>
    <row r="7" spans="1:25" ht="21">
      <c r="A7" s="428" t="s">
        <v>419</v>
      </c>
      <c r="B7" s="428"/>
      <c r="C7" s="428"/>
      <c r="D7" s="428"/>
      <c r="E7" s="462" t="s">
        <v>340</v>
      </c>
      <c r="F7" s="462"/>
      <c r="G7" s="462"/>
      <c r="H7" s="462"/>
      <c r="I7" s="462"/>
      <c r="J7" s="462"/>
      <c r="K7" s="462"/>
      <c r="L7" s="462"/>
      <c r="M7" s="463" t="s">
        <v>420</v>
      </c>
      <c r="N7" s="457" t="s">
        <v>285</v>
      </c>
      <c r="O7" s="458"/>
      <c r="P7" s="458"/>
      <c r="Q7" s="458"/>
      <c r="R7" s="458"/>
      <c r="S7" s="458"/>
      <c r="T7" s="458"/>
      <c r="U7" s="458"/>
      <c r="V7" s="408" t="s">
        <v>421</v>
      </c>
      <c r="W7" s="457" t="s">
        <v>286</v>
      </c>
      <c r="X7" s="457" t="s">
        <v>538</v>
      </c>
    </row>
    <row r="8" spans="1:25" ht="29.1" customHeight="1">
      <c r="A8" s="427" t="s">
        <v>248</v>
      </c>
      <c r="B8" s="427" t="s">
        <v>249</v>
      </c>
      <c r="C8" s="459" t="s">
        <v>546</v>
      </c>
      <c r="D8" s="427" t="s">
        <v>250</v>
      </c>
      <c r="E8" s="427" t="s">
        <v>251</v>
      </c>
      <c r="F8" s="460"/>
      <c r="G8" s="264" t="s">
        <v>252</v>
      </c>
      <c r="H8" s="427" t="s">
        <v>253</v>
      </c>
      <c r="I8" s="460"/>
      <c r="J8" s="264" t="s">
        <v>254</v>
      </c>
      <c r="K8" s="264" t="s">
        <v>255</v>
      </c>
      <c r="L8" s="264" t="s">
        <v>256</v>
      </c>
      <c r="M8" s="464"/>
      <c r="N8" s="427" t="s">
        <v>251</v>
      </c>
      <c r="O8" s="460"/>
      <c r="P8" s="264" t="s">
        <v>252</v>
      </c>
      <c r="Q8" s="427" t="s">
        <v>253</v>
      </c>
      <c r="R8" s="460"/>
      <c r="S8" s="264" t="s">
        <v>254</v>
      </c>
      <c r="T8" s="264" t="s">
        <v>255</v>
      </c>
      <c r="U8" s="264" t="s">
        <v>256</v>
      </c>
      <c r="V8" s="409"/>
      <c r="W8" s="458"/>
      <c r="X8" s="458"/>
    </row>
    <row r="9" spans="1:25" ht="29.1" customHeight="1">
      <c r="A9" s="427"/>
      <c r="B9" s="427"/>
      <c r="C9" s="459"/>
      <c r="D9" s="460"/>
      <c r="E9" s="264" t="s">
        <v>422</v>
      </c>
      <c r="F9" s="264" t="s">
        <v>258</v>
      </c>
      <c r="G9" s="264" t="s">
        <v>259</v>
      </c>
      <c r="H9" s="264" t="s">
        <v>259</v>
      </c>
      <c r="I9" s="264" t="s">
        <v>258</v>
      </c>
      <c r="J9" s="264" t="s">
        <v>259</v>
      </c>
      <c r="K9" s="264" t="s">
        <v>260</v>
      </c>
      <c r="L9" s="264" t="s">
        <v>259</v>
      </c>
      <c r="M9" s="465"/>
      <c r="N9" s="264" t="s">
        <v>422</v>
      </c>
      <c r="O9" s="264" t="s">
        <v>258</v>
      </c>
      <c r="P9" s="264" t="s">
        <v>259</v>
      </c>
      <c r="Q9" s="264" t="s">
        <v>259</v>
      </c>
      <c r="R9" s="264" t="s">
        <v>258</v>
      </c>
      <c r="S9" s="264" t="s">
        <v>259</v>
      </c>
      <c r="T9" s="264" t="s">
        <v>260</v>
      </c>
      <c r="U9" s="264" t="s">
        <v>259</v>
      </c>
      <c r="V9" s="410"/>
      <c r="W9" s="458"/>
      <c r="X9" s="458"/>
    </row>
    <row r="10" spans="1:25" ht="48" customHeight="1">
      <c r="A10" s="180">
        <v>1</v>
      </c>
      <c r="B10" s="312" t="s">
        <v>423</v>
      </c>
      <c r="C10" s="312" t="s">
        <v>646</v>
      </c>
      <c r="D10" s="461" t="s">
        <v>263</v>
      </c>
      <c r="E10" s="461"/>
      <c r="F10" s="461"/>
      <c r="G10" s="461"/>
      <c r="H10" s="461"/>
      <c r="I10" s="461"/>
      <c r="J10" s="461"/>
      <c r="K10" s="461"/>
      <c r="L10" s="461"/>
      <c r="M10" s="461"/>
      <c r="N10" s="57">
        <v>50</v>
      </c>
      <c r="O10" s="57">
        <v>3</v>
      </c>
      <c r="P10" s="57">
        <v>8</v>
      </c>
      <c r="Q10" s="57">
        <v>12</v>
      </c>
      <c r="R10" s="57">
        <v>3</v>
      </c>
      <c r="S10" s="57">
        <v>10</v>
      </c>
      <c r="T10" s="57">
        <v>8</v>
      </c>
      <c r="U10" s="57">
        <v>5</v>
      </c>
      <c r="V10" s="57">
        <f>SUM(N10:U10)</f>
        <v>99</v>
      </c>
      <c r="W10" s="483">
        <v>25.08</v>
      </c>
      <c r="X10" s="313">
        <f>W10*V10</f>
        <v>2482.9199999999996</v>
      </c>
    </row>
    <row r="11" spans="1:25" ht="44.4" customHeight="1">
      <c r="A11" s="180">
        <v>2</v>
      </c>
      <c r="B11" s="312" t="s">
        <v>424</v>
      </c>
      <c r="C11" s="312" t="s">
        <v>647</v>
      </c>
      <c r="D11" s="461" t="s">
        <v>263</v>
      </c>
      <c r="E11" s="461"/>
      <c r="F11" s="461"/>
      <c r="G11" s="461"/>
      <c r="H11" s="461"/>
      <c r="I11" s="461"/>
      <c r="J11" s="461"/>
      <c r="K11" s="461"/>
      <c r="L11" s="461"/>
      <c r="M11" s="461"/>
      <c r="N11" s="57">
        <v>50</v>
      </c>
      <c r="O11" s="57">
        <v>5</v>
      </c>
      <c r="P11" s="57">
        <v>12</v>
      </c>
      <c r="Q11" s="57">
        <v>12</v>
      </c>
      <c r="R11" s="57">
        <v>3</v>
      </c>
      <c r="S11" s="57">
        <v>10</v>
      </c>
      <c r="T11" s="57">
        <v>16</v>
      </c>
      <c r="U11" s="57">
        <v>10</v>
      </c>
      <c r="V11" s="57">
        <f>SUM(N11:U11)</f>
        <v>118</v>
      </c>
      <c r="W11" s="483">
        <v>23.1</v>
      </c>
      <c r="X11" s="313">
        <f t="shared" ref="X11:X16" si="0">W11*V11</f>
        <v>2725.8</v>
      </c>
    </row>
    <row r="12" spans="1:25" ht="51.6" customHeight="1">
      <c r="A12" s="180">
        <v>3</v>
      </c>
      <c r="B12" s="312" t="s">
        <v>425</v>
      </c>
      <c r="C12" s="312" t="s">
        <v>648</v>
      </c>
      <c r="D12" s="461" t="s">
        <v>263</v>
      </c>
      <c r="E12" s="461"/>
      <c r="F12" s="461"/>
      <c r="G12" s="461"/>
      <c r="H12" s="461"/>
      <c r="I12" s="461"/>
      <c r="J12" s="461"/>
      <c r="K12" s="461"/>
      <c r="L12" s="461"/>
      <c r="M12" s="461"/>
      <c r="N12" s="57">
        <v>50</v>
      </c>
      <c r="O12" s="57">
        <v>5</v>
      </c>
      <c r="P12" s="57">
        <v>10</v>
      </c>
      <c r="Q12" s="57">
        <v>10</v>
      </c>
      <c r="R12" s="57">
        <v>5</v>
      </c>
      <c r="S12" s="57">
        <v>10</v>
      </c>
      <c r="T12" s="57">
        <v>8</v>
      </c>
      <c r="U12" s="57">
        <v>5</v>
      </c>
      <c r="V12" s="57">
        <f>SUM(N12:U12)</f>
        <v>103</v>
      </c>
      <c r="W12" s="483">
        <v>21.09</v>
      </c>
      <c r="X12" s="313">
        <f t="shared" si="0"/>
        <v>2172.27</v>
      </c>
      <c r="Y12" s="139" t="s">
        <v>426</v>
      </c>
    </row>
    <row r="13" spans="1:25" ht="103.65" customHeight="1">
      <c r="A13" s="180">
        <v>4</v>
      </c>
      <c r="B13" s="170" t="s">
        <v>427</v>
      </c>
      <c r="C13" s="56" t="s">
        <v>428</v>
      </c>
      <c r="D13" s="57" t="s">
        <v>343</v>
      </c>
      <c r="E13" s="57">
        <v>4</v>
      </c>
      <c r="F13" s="57">
        <v>1</v>
      </c>
      <c r="G13" s="57">
        <v>1</v>
      </c>
      <c r="H13" s="57">
        <v>3</v>
      </c>
      <c r="I13" s="57">
        <v>1</v>
      </c>
      <c r="J13" s="57">
        <v>6</v>
      </c>
      <c r="K13" s="57">
        <v>1</v>
      </c>
      <c r="L13" s="57">
        <v>1</v>
      </c>
      <c r="M13" s="57">
        <f>SUM(E13:L13)</f>
        <v>18</v>
      </c>
      <c r="N13" s="57">
        <f>E13*12</f>
        <v>48</v>
      </c>
      <c r="O13" s="57">
        <f t="shared" ref="O13:U13" si="1">F13*12</f>
        <v>12</v>
      </c>
      <c r="P13" s="57">
        <f>G13*12</f>
        <v>12</v>
      </c>
      <c r="Q13" s="57">
        <f t="shared" si="1"/>
        <v>36</v>
      </c>
      <c r="R13" s="57">
        <f t="shared" si="1"/>
        <v>12</v>
      </c>
      <c r="S13" s="57">
        <f t="shared" si="1"/>
        <v>72</v>
      </c>
      <c r="T13" s="57">
        <f t="shared" si="1"/>
        <v>12</v>
      </c>
      <c r="U13" s="57">
        <f t="shared" si="1"/>
        <v>12</v>
      </c>
      <c r="V13" s="57">
        <f>SUM(N13:U13)</f>
        <v>216</v>
      </c>
      <c r="W13" s="483">
        <v>30.2</v>
      </c>
      <c r="X13" s="313">
        <f>W13*V13</f>
        <v>6523.2</v>
      </c>
    </row>
    <row r="14" spans="1:25" ht="73.349999999999994" customHeight="1">
      <c r="A14" s="180">
        <v>5</v>
      </c>
      <c r="B14" s="170" t="s">
        <v>429</v>
      </c>
      <c r="C14" s="56" t="s">
        <v>430</v>
      </c>
      <c r="D14" s="57" t="s">
        <v>431</v>
      </c>
      <c r="E14" s="57">
        <v>24</v>
      </c>
      <c r="F14" s="57">
        <v>3</v>
      </c>
      <c r="G14" s="57">
        <v>5</v>
      </c>
      <c r="H14" s="57">
        <v>25</v>
      </c>
      <c r="I14" s="57">
        <v>3</v>
      </c>
      <c r="J14" s="57">
        <v>8</v>
      </c>
      <c r="K14" s="57">
        <v>5</v>
      </c>
      <c r="L14" s="57">
        <v>4</v>
      </c>
      <c r="M14" s="57">
        <f>SUM(E14:L14)</f>
        <v>77</v>
      </c>
      <c r="N14" s="57">
        <f>E14*12</f>
        <v>288</v>
      </c>
      <c r="O14" s="57">
        <f t="shared" ref="O14" si="2">F14*12</f>
        <v>36</v>
      </c>
      <c r="P14" s="57">
        <f t="shared" ref="P14" si="3">G14*12</f>
        <v>60</v>
      </c>
      <c r="Q14" s="57">
        <f t="shared" ref="Q14" si="4">H14*12</f>
        <v>300</v>
      </c>
      <c r="R14" s="57">
        <f t="shared" ref="R14" si="5">I14*12</f>
        <v>36</v>
      </c>
      <c r="S14" s="57">
        <f>J14*12</f>
        <v>96</v>
      </c>
      <c r="T14" s="57">
        <f t="shared" ref="T14" si="6">K14*12</f>
        <v>60</v>
      </c>
      <c r="U14" s="57">
        <f t="shared" ref="U14" si="7">L14*12</f>
        <v>48</v>
      </c>
      <c r="V14" s="57">
        <f>SUM(N14:U14)</f>
        <v>924</v>
      </c>
      <c r="W14" s="483">
        <v>56.74</v>
      </c>
      <c r="X14" s="313">
        <f t="shared" si="0"/>
        <v>52427.76</v>
      </c>
    </row>
    <row r="15" spans="1:25" ht="84" customHeight="1">
      <c r="A15" s="180">
        <v>6</v>
      </c>
      <c r="B15" s="170" t="s">
        <v>432</v>
      </c>
      <c r="C15" s="56" t="s">
        <v>433</v>
      </c>
      <c r="D15" s="56" t="s">
        <v>434</v>
      </c>
      <c r="E15" s="57">
        <v>260</v>
      </c>
      <c r="F15" s="57">
        <v>20</v>
      </c>
      <c r="G15" s="57">
        <v>50</v>
      </c>
      <c r="H15" s="57">
        <v>15</v>
      </c>
      <c r="I15" s="57">
        <v>24</v>
      </c>
      <c r="J15" s="57">
        <v>48</v>
      </c>
      <c r="K15" s="57">
        <v>8</v>
      </c>
      <c r="L15" s="57">
        <v>40</v>
      </c>
      <c r="M15" s="57">
        <f>SUM(E15:L15)</f>
        <v>465</v>
      </c>
      <c r="N15" s="57">
        <f t="shared" ref="N15:N16" si="8">E15*12</f>
        <v>3120</v>
      </c>
      <c r="O15" s="57">
        <f t="shared" ref="O15:O16" si="9">F15*12</f>
        <v>240</v>
      </c>
      <c r="P15" s="57">
        <f t="shared" ref="P15:P16" si="10">G15*12</f>
        <v>600</v>
      </c>
      <c r="Q15" s="57">
        <f t="shared" ref="Q15:Q16" si="11">H15*12</f>
        <v>180</v>
      </c>
      <c r="R15" s="57">
        <f t="shared" ref="R15:R16" si="12">I15*12</f>
        <v>288</v>
      </c>
      <c r="S15" s="57">
        <f t="shared" ref="S15:S16" si="13">J15*12</f>
        <v>576</v>
      </c>
      <c r="T15" s="57">
        <f t="shared" ref="T15:T16" si="14">K15*12</f>
        <v>96</v>
      </c>
      <c r="U15" s="57">
        <f t="shared" ref="U15:U16" si="15">L15*12</f>
        <v>480</v>
      </c>
      <c r="V15" s="57">
        <f t="shared" ref="V15:V16" si="16">SUM(N15:U15)</f>
        <v>5580</v>
      </c>
      <c r="W15" s="483">
        <v>14.84</v>
      </c>
      <c r="X15" s="313">
        <f t="shared" si="0"/>
        <v>82807.199999999997</v>
      </c>
    </row>
    <row r="16" spans="1:25" ht="72">
      <c r="A16" s="180">
        <v>7</v>
      </c>
      <c r="B16" s="170" t="s">
        <v>435</v>
      </c>
      <c r="C16" s="56" t="s">
        <v>436</v>
      </c>
      <c r="D16" s="56" t="s">
        <v>343</v>
      </c>
      <c r="E16" s="57">
        <v>20</v>
      </c>
      <c r="F16" s="57">
        <v>2</v>
      </c>
      <c r="G16" s="57">
        <v>3</v>
      </c>
      <c r="H16" s="57">
        <v>10</v>
      </c>
      <c r="I16" s="57">
        <v>2</v>
      </c>
      <c r="J16" s="57">
        <v>8</v>
      </c>
      <c r="K16" s="57">
        <v>4</v>
      </c>
      <c r="L16" s="57">
        <v>2</v>
      </c>
      <c r="M16" s="57">
        <f>SUM(E16:L16)</f>
        <v>51</v>
      </c>
      <c r="N16" s="57">
        <f t="shared" si="8"/>
        <v>240</v>
      </c>
      <c r="O16" s="57">
        <f t="shared" si="9"/>
        <v>24</v>
      </c>
      <c r="P16" s="57">
        <f t="shared" si="10"/>
        <v>36</v>
      </c>
      <c r="Q16" s="57">
        <f t="shared" si="11"/>
        <v>120</v>
      </c>
      <c r="R16" s="57">
        <f t="shared" si="12"/>
        <v>24</v>
      </c>
      <c r="S16" s="57">
        <f t="shared" si="13"/>
        <v>96</v>
      </c>
      <c r="T16" s="57">
        <f t="shared" si="14"/>
        <v>48</v>
      </c>
      <c r="U16" s="57">
        <f t="shared" si="15"/>
        <v>24</v>
      </c>
      <c r="V16" s="57">
        <f t="shared" si="16"/>
        <v>612</v>
      </c>
      <c r="W16" s="483">
        <v>15.55</v>
      </c>
      <c r="X16" s="313">
        <f t="shared" si="0"/>
        <v>9516.6</v>
      </c>
    </row>
    <row r="17" spans="1:24" ht="29.25" customHeight="1">
      <c r="A17" s="449" t="s">
        <v>437</v>
      </c>
      <c r="B17" s="450"/>
      <c r="C17" s="450"/>
      <c r="D17" s="450"/>
      <c r="E17" s="450"/>
      <c r="F17" s="450"/>
      <c r="G17" s="450"/>
      <c r="H17" s="450"/>
      <c r="I17" s="450"/>
      <c r="J17" s="450"/>
      <c r="K17" s="450"/>
      <c r="L17" s="450"/>
      <c r="M17" s="450"/>
      <c r="N17" s="450"/>
      <c r="O17" s="450"/>
      <c r="P17" s="450"/>
      <c r="Q17" s="450"/>
      <c r="R17" s="450"/>
      <c r="S17" s="450"/>
      <c r="T17" s="450"/>
      <c r="U17" s="450"/>
      <c r="V17" s="450"/>
      <c r="W17" s="451"/>
      <c r="X17" s="314">
        <f>MROUND(SUM(X10:X16),0.12)</f>
        <v>158655.72</v>
      </c>
    </row>
    <row r="18" spans="1:24" ht="36.6" customHeight="1">
      <c r="A18" s="449" t="s">
        <v>341</v>
      </c>
      <c r="B18" s="450"/>
      <c r="C18" s="450"/>
      <c r="D18" s="450"/>
      <c r="E18" s="450"/>
      <c r="F18" s="450"/>
      <c r="G18" s="450"/>
      <c r="H18" s="450"/>
      <c r="I18" s="450"/>
      <c r="J18" s="450"/>
      <c r="K18" s="450"/>
      <c r="L18" s="450"/>
      <c r="M18" s="450"/>
      <c r="N18" s="450"/>
      <c r="O18" s="450"/>
      <c r="P18" s="450"/>
      <c r="Q18" s="450"/>
      <c r="R18" s="450"/>
      <c r="S18" s="450"/>
      <c r="T18" s="450"/>
      <c r="U18" s="450"/>
      <c r="V18" s="450"/>
      <c r="W18" s="451"/>
      <c r="X18" s="314">
        <f>X17/12</f>
        <v>13221.31</v>
      </c>
    </row>
    <row r="21" spans="1:24" ht="29.25" customHeight="1">
      <c r="A21" s="456" t="s">
        <v>438</v>
      </c>
      <c r="B21" s="456"/>
      <c r="C21" s="456"/>
      <c r="D21" s="456"/>
      <c r="E21" s="456"/>
      <c r="F21" s="456"/>
      <c r="G21" s="456"/>
      <c r="H21" s="456"/>
      <c r="I21" s="456"/>
      <c r="J21" s="456"/>
      <c r="K21" s="456"/>
      <c r="L21" s="456"/>
      <c r="M21" s="456"/>
      <c r="N21" s="456"/>
      <c r="O21" s="456"/>
      <c r="P21" s="456"/>
      <c r="Q21" s="456"/>
      <c r="R21" s="456"/>
      <c r="S21" s="456"/>
      <c r="T21" s="456"/>
      <c r="U21" s="456"/>
      <c r="V21" s="456"/>
      <c r="W21" s="456"/>
    </row>
    <row r="22" spans="1:24" ht="39" customHeight="1">
      <c r="A22" s="456" t="s">
        <v>649</v>
      </c>
      <c r="B22" s="456"/>
      <c r="C22" s="456"/>
      <c r="D22" s="456"/>
      <c r="E22" s="456"/>
      <c r="F22" s="456"/>
      <c r="G22" s="456"/>
      <c r="H22" s="456"/>
      <c r="I22" s="456"/>
      <c r="J22" s="456"/>
      <c r="K22" s="456"/>
      <c r="L22" s="456"/>
      <c r="M22" s="456"/>
      <c r="N22" s="456"/>
      <c r="O22" s="456"/>
      <c r="P22" s="456"/>
      <c r="Q22" s="456"/>
      <c r="R22" s="456"/>
      <c r="S22" s="456"/>
      <c r="T22" s="456"/>
      <c r="U22" s="456"/>
      <c r="V22" s="456"/>
      <c r="W22" s="456"/>
    </row>
  </sheetData>
  <mergeCells count="25">
    <mergeCell ref="D10:M10"/>
    <mergeCell ref="A1:X2"/>
    <mergeCell ref="E7:L7"/>
    <mergeCell ref="E8:F8"/>
    <mergeCell ref="H8:I8"/>
    <mergeCell ref="M7:M9"/>
    <mergeCell ref="A4:X4"/>
    <mergeCell ref="A5:X5"/>
    <mergeCell ref="X7:X9"/>
    <mergeCell ref="A17:W17"/>
    <mergeCell ref="A21:W21"/>
    <mergeCell ref="A22:W22"/>
    <mergeCell ref="W7:W9"/>
    <mergeCell ref="B8:B9"/>
    <mergeCell ref="A8:A9"/>
    <mergeCell ref="C8:C9"/>
    <mergeCell ref="D8:D9"/>
    <mergeCell ref="N8:O8"/>
    <mergeCell ref="Q8:R8"/>
    <mergeCell ref="A18:W18"/>
    <mergeCell ref="A7:D7"/>
    <mergeCell ref="N7:U7"/>
    <mergeCell ref="V7:V9"/>
    <mergeCell ref="D11:M11"/>
    <mergeCell ref="D12:M12"/>
  </mergeCells>
  <printOptions horizontalCentered="1"/>
  <pageMargins left="0.11811023622047245" right="0.11811023622047245" top="0.39370078740157483" bottom="0.39370078740157483" header="0.31496062992125984" footer="0.31496062992125984"/>
  <pageSetup paperSize="3" scale="58" fitToHeight="0" orientation="landscape" r:id="rId1"/>
  <headerFooter>
    <oddHeader>&amp;C&amp;A
&amp;P de &amp;N</oddHeader>
    <oddFooter>&amp;C&amp;A
&amp;P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C9A82-AFC3-4850-8639-C9A809EACEC2}">
  <sheetPr>
    <pageSetUpPr fitToPage="1"/>
  </sheetPr>
  <dimension ref="A1:IZ214"/>
  <sheetViews>
    <sheetView showGridLines="0" view="pageBreakPreview" topLeftCell="A190" zoomScaleNormal="90" zoomScaleSheetLayoutView="100" workbookViewId="0">
      <selection activeCell="D205" sqref="D205"/>
    </sheetView>
  </sheetViews>
  <sheetFormatPr defaultColWidth="9.109375" defaultRowHeight="14.4"/>
  <cols>
    <col min="1" max="1" width="57.44140625" style="131" customWidth="1"/>
    <col min="2" max="2" width="20" style="131" customWidth="1"/>
    <col min="3" max="3" width="15" style="131" customWidth="1"/>
    <col min="4" max="4" width="14.88671875" style="131" customWidth="1"/>
    <col min="5" max="5" width="16.109375" style="131" customWidth="1"/>
    <col min="6" max="7" width="15.44140625" style="131" customWidth="1"/>
    <col min="8" max="10" width="15.88671875" style="131" customWidth="1"/>
    <col min="11" max="11" width="16.44140625" style="132" customWidth="1"/>
    <col min="12" max="12" width="14.5546875" style="133" customWidth="1"/>
    <col min="13" max="13" width="11.109375" style="135" customWidth="1"/>
    <col min="14" max="260" width="9.109375" style="136"/>
    <col min="261" max="16384" width="9.109375" style="139"/>
  </cols>
  <sheetData>
    <row r="1" spans="1:13" ht="15.6">
      <c r="A1" s="320" t="s">
        <v>10</v>
      </c>
      <c r="B1" s="320"/>
      <c r="C1" s="320"/>
      <c r="D1" s="320"/>
      <c r="E1" s="320"/>
      <c r="F1" s="320"/>
      <c r="G1" s="320"/>
      <c r="H1" s="320"/>
      <c r="I1" s="320"/>
      <c r="J1" s="320"/>
      <c r="K1" s="320"/>
      <c r="L1" s="320"/>
    </row>
    <row r="2" spans="1:13" ht="12.75" customHeight="1">
      <c r="A2" s="139"/>
      <c r="B2" s="139"/>
      <c r="C2" s="139"/>
      <c r="D2" s="139"/>
      <c r="E2" s="139"/>
      <c r="F2" s="139"/>
      <c r="G2" s="139"/>
      <c r="H2" s="139"/>
      <c r="I2" s="139"/>
      <c r="J2" s="139"/>
      <c r="K2" s="139"/>
      <c r="L2" s="139"/>
    </row>
    <row r="3" spans="1:13" ht="15.6">
      <c r="A3" s="321" t="str">
        <f>PROPOSTA_GLOBAL!A4</f>
        <v>SUPERINTENDÊNCIA REGIONAL DA POLÍCIA FEDERAL NO PARANÁ</v>
      </c>
      <c r="B3" s="321"/>
      <c r="C3" s="321"/>
      <c r="D3" s="321"/>
      <c r="E3" s="321"/>
      <c r="F3" s="321"/>
      <c r="G3" s="321"/>
      <c r="H3" s="321"/>
      <c r="I3" s="321"/>
      <c r="J3" s="321"/>
      <c r="K3" s="321"/>
      <c r="L3" s="321"/>
    </row>
    <row r="4" spans="1:13" s="136" customFormat="1" ht="15.6">
      <c r="A4" s="321" t="str">
        <f>PROPOSTA_GLOBAL!A5</f>
        <v>PROCESSO ADMINISTRATIVO SEI Nº 08385.000837/2025-50</v>
      </c>
      <c r="B4" s="321"/>
      <c r="C4" s="321"/>
      <c r="D4" s="321"/>
      <c r="E4" s="321"/>
      <c r="F4" s="321"/>
      <c r="G4" s="321"/>
      <c r="H4" s="321"/>
      <c r="I4" s="321"/>
      <c r="J4" s="321"/>
      <c r="K4" s="321"/>
      <c r="L4" s="321"/>
      <c r="M4" s="135"/>
    </row>
    <row r="5" spans="1:13" ht="12" customHeight="1"/>
    <row r="6" spans="1:13" s="136" customFormat="1" ht="12">
      <c r="A6" s="131"/>
      <c r="B6" s="131"/>
      <c r="C6" s="131"/>
      <c r="D6" s="131"/>
      <c r="E6" s="131"/>
      <c r="F6" s="131"/>
      <c r="G6" s="131"/>
      <c r="H6" s="131"/>
      <c r="I6" s="131"/>
      <c r="J6" s="131"/>
      <c r="K6" s="132"/>
      <c r="L6" s="133"/>
      <c r="M6" s="135"/>
    </row>
    <row r="7" spans="1:13" s="136" customFormat="1" ht="15.75" customHeight="1">
      <c r="A7" s="472" t="s">
        <v>443</v>
      </c>
      <c r="B7" s="466" t="s">
        <v>444</v>
      </c>
      <c r="C7" s="471"/>
      <c r="D7" s="467"/>
      <c r="E7" s="466" t="s">
        <v>445</v>
      </c>
      <c r="F7" s="471"/>
      <c r="G7" s="471"/>
      <c r="H7" s="471"/>
      <c r="I7" s="471"/>
      <c r="J7" s="471"/>
      <c r="K7" s="471"/>
      <c r="L7" s="467"/>
    </row>
    <row r="8" spans="1:13" s="136" customFormat="1" ht="46.8">
      <c r="A8" s="473"/>
      <c r="B8" s="146" t="s">
        <v>446</v>
      </c>
      <c r="C8" s="146" t="s">
        <v>447</v>
      </c>
      <c r="D8" s="142" t="s">
        <v>448</v>
      </c>
      <c r="E8" s="141" t="s">
        <v>449</v>
      </c>
      <c r="F8" s="141" t="s">
        <v>450</v>
      </c>
      <c r="G8" s="143" t="s">
        <v>451</v>
      </c>
      <c r="H8" s="143" t="s">
        <v>452</v>
      </c>
      <c r="I8" s="146" t="s">
        <v>453</v>
      </c>
      <c r="J8" s="146" t="s">
        <v>454</v>
      </c>
      <c r="K8" s="146" t="s">
        <v>455</v>
      </c>
      <c r="L8" s="146" t="s">
        <v>456</v>
      </c>
    </row>
    <row r="9" spans="1:13" s="138" customFormat="1" ht="15.6">
      <c r="A9" s="147" t="s">
        <v>457</v>
      </c>
      <c r="B9" s="140">
        <f>SUM(B10:B17)</f>
        <v>16476.96</v>
      </c>
      <c r="C9" s="140">
        <f t="shared" ref="C9" si="0">SUM(C10:C17)</f>
        <v>39</v>
      </c>
      <c r="D9" s="140">
        <f t="shared" ref="D9" si="1">SUM(D10:D17)</f>
        <v>16515.96</v>
      </c>
      <c r="E9" s="141"/>
      <c r="F9" s="141"/>
      <c r="G9" s="142"/>
      <c r="H9" s="142"/>
      <c r="I9" s="146"/>
      <c r="J9" s="468">
        <f>SUM(I10:I17)</f>
        <v>11.038194773976027</v>
      </c>
      <c r="K9" s="469">
        <f>SUM(J9:J30)</f>
        <v>17.001374255248489</v>
      </c>
      <c r="L9" s="470">
        <f>ROUND(K9,0)</f>
        <v>17</v>
      </c>
    </row>
    <row r="10" spans="1:13" s="136" customFormat="1" ht="15" customHeight="1">
      <c r="A10" s="149" t="s">
        <v>458</v>
      </c>
      <c r="B10" s="150">
        <v>5056.29</v>
      </c>
      <c r="C10" s="150">
        <v>0</v>
      </c>
      <c r="D10" s="151">
        <f t="shared" ref="D10:D17" si="2">SUM(B10:C10)</f>
        <v>5056.29</v>
      </c>
      <c r="E10" s="152">
        <v>1600</v>
      </c>
      <c r="F10" s="154">
        <f>IF(D10=0,"N/A",1/E10)</f>
        <v>6.2500000000000001E-4</v>
      </c>
      <c r="G10" s="153" t="s">
        <v>98</v>
      </c>
      <c r="H10" s="153" t="s">
        <v>98</v>
      </c>
      <c r="I10" s="165">
        <f>F10*D10</f>
        <v>3.1601812499999999</v>
      </c>
      <c r="J10" s="468"/>
      <c r="K10" s="469"/>
      <c r="L10" s="470"/>
    </row>
    <row r="11" spans="1:13" s="136" customFormat="1" ht="15" customHeight="1">
      <c r="A11" s="149" t="s">
        <v>459</v>
      </c>
      <c r="B11" s="150">
        <v>7492.62</v>
      </c>
      <c r="C11" s="150">
        <v>24</v>
      </c>
      <c r="D11" s="151">
        <f t="shared" si="2"/>
        <v>7516.62</v>
      </c>
      <c r="E11" s="152">
        <v>1600</v>
      </c>
      <c r="F11" s="154">
        <f t="shared" ref="F11:F30" si="3">IF(D11=0,"N/A",1/E11)</f>
        <v>6.2500000000000001E-4</v>
      </c>
      <c r="G11" s="153" t="s">
        <v>98</v>
      </c>
      <c r="H11" s="153" t="s">
        <v>98</v>
      </c>
      <c r="I11" s="165">
        <f t="shared" ref="I11:I17" si="4">F11*D11</f>
        <v>4.6978875000000002</v>
      </c>
      <c r="J11" s="468"/>
      <c r="K11" s="469"/>
      <c r="L11" s="470"/>
    </row>
    <row r="12" spans="1:13" s="136" customFormat="1" ht="15" customHeight="1">
      <c r="A12" s="149" t="s">
        <v>460</v>
      </c>
      <c r="B12" s="150">
        <v>305.26</v>
      </c>
      <c r="C12" s="150">
        <v>0</v>
      </c>
      <c r="D12" s="151">
        <f t="shared" si="2"/>
        <v>305.26</v>
      </c>
      <c r="E12" s="152">
        <v>600</v>
      </c>
      <c r="F12" s="154">
        <f t="shared" si="3"/>
        <v>1.6666666666666668E-3</v>
      </c>
      <c r="G12" s="153" t="s">
        <v>98</v>
      </c>
      <c r="H12" s="153" t="s">
        <v>98</v>
      </c>
      <c r="I12" s="165">
        <f t="shared" si="4"/>
        <v>0.5087666666666667</v>
      </c>
      <c r="J12" s="468"/>
      <c r="K12" s="469"/>
      <c r="L12" s="470"/>
    </row>
    <row r="13" spans="1:13" s="136" customFormat="1" ht="15" customHeight="1">
      <c r="A13" s="149" t="s">
        <v>461</v>
      </c>
      <c r="B13" s="150">
        <v>0</v>
      </c>
      <c r="C13" s="150">
        <v>10</v>
      </c>
      <c r="D13" s="151">
        <f t="shared" si="2"/>
        <v>10</v>
      </c>
      <c r="E13" s="152">
        <v>3500</v>
      </c>
      <c r="F13" s="154">
        <f t="shared" si="3"/>
        <v>2.8571428571428574E-4</v>
      </c>
      <c r="G13" s="153" t="s">
        <v>98</v>
      </c>
      <c r="H13" s="153" t="s">
        <v>98</v>
      </c>
      <c r="I13" s="165">
        <f t="shared" si="4"/>
        <v>2.8571428571428576E-3</v>
      </c>
      <c r="J13" s="468"/>
      <c r="K13" s="469"/>
      <c r="L13" s="470"/>
    </row>
    <row r="14" spans="1:13" s="136" customFormat="1" ht="15" customHeight="1">
      <c r="A14" s="149" t="s">
        <v>462</v>
      </c>
      <c r="B14" s="150">
        <v>0</v>
      </c>
      <c r="C14" s="150">
        <v>0</v>
      </c>
      <c r="D14" s="151">
        <f t="shared" si="2"/>
        <v>0</v>
      </c>
      <c r="E14" s="153" t="s">
        <v>98</v>
      </c>
      <c r="F14" s="154" t="str">
        <f t="shared" si="3"/>
        <v>N/A</v>
      </c>
      <c r="G14" s="153" t="s">
        <v>98</v>
      </c>
      <c r="H14" s="153" t="s">
        <v>98</v>
      </c>
      <c r="I14" s="153" t="s">
        <v>98</v>
      </c>
      <c r="J14" s="468"/>
      <c r="K14" s="469"/>
      <c r="L14" s="470"/>
    </row>
    <row r="15" spans="1:13" s="136" customFormat="1" ht="15" customHeight="1">
      <c r="A15" s="149" t="s">
        <v>463</v>
      </c>
      <c r="B15" s="150">
        <v>0</v>
      </c>
      <c r="C15" s="150">
        <v>0</v>
      </c>
      <c r="D15" s="151">
        <f t="shared" si="2"/>
        <v>0</v>
      </c>
      <c r="E15" s="153" t="s">
        <v>98</v>
      </c>
      <c r="F15" s="154" t="str">
        <f t="shared" si="3"/>
        <v>N/A</v>
      </c>
      <c r="G15" s="153" t="s">
        <v>98</v>
      </c>
      <c r="H15" s="153" t="s">
        <v>98</v>
      </c>
      <c r="I15" s="153" t="s">
        <v>98</v>
      </c>
      <c r="J15" s="468"/>
      <c r="K15" s="469"/>
      <c r="L15" s="470"/>
    </row>
    <row r="16" spans="1:13" s="136" customFormat="1" ht="15" customHeight="1">
      <c r="A16" s="149" t="s">
        <v>464</v>
      </c>
      <c r="B16" s="150">
        <v>3144.51</v>
      </c>
      <c r="C16" s="150">
        <v>0</v>
      </c>
      <c r="D16" s="151">
        <f t="shared" si="2"/>
        <v>3144.51</v>
      </c>
      <c r="E16" s="152">
        <v>2200</v>
      </c>
      <c r="F16" s="154">
        <f t="shared" si="3"/>
        <v>4.5454545454545455E-4</v>
      </c>
      <c r="G16" s="153" t="s">
        <v>98</v>
      </c>
      <c r="H16" s="153" t="s">
        <v>98</v>
      </c>
      <c r="I16" s="165">
        <f t="shared" si="4"/>
        <v>1.4293227272727274</v>
      </c>
      <c r="J16" s="468"/>
      <c r="K16" s="469"/>
      <c r="L16" s="470"/>
    </row>
    <row r="17" spans="1:13" s="136" customFormat="1" ht="15" customHeight="1">
      <c r="A17" s="149" t="s">
        <v>465</v>
      </c>
      <c r="B17" s="150">
        <v>478.28</v>
      </c>
      <c r="C17" s="150">
        <v>5</v>
      </c>
      <c r="D17" s="151">
        <f t="shared" si="2"/>
        <v>483.28</v>
      </c>
      <c r="E17" s="152">
        <v>390</v>
      </c>
      <c r="F17" s="154">
        <f t="shared" si="3"/>
        <v>2.5641025641025641E-3</v>
      </c>
      <c r="G17" s="153" t="s">
        <v>98</v>
      </c>
      <c r="H17" s="153" t="s">
        <v>98</v>
      </c>
      <c r="I17" s="165">
        <f t="shared" si="4"/>
        <v>1.239179487179487</v>
      </c>
      <c r="J17" s="468"/>
      <c r="K17" s="469"/>
      <c r="L17" s="470"/>
    </row>
    <row r="18" spans="1:13" s="136" customFormat="1" ht="15.6">
      <c r="A18" s="147" t="s">
        <v>466</v>
      </c>
      <c r="B18" s="140">
        <f>SUM(B19:B24)</f>
        <v>12280.839999999998</v>
      </c>
      <c r="C18" s="140">
        <f t="shared" ref="C18" si="5">SUM(C19:C24)</f>
        <v>9406</v>
      </c>
      <c r="D18" s="140">
        <f t="shared" ref="D18" si="6">SUM(D19:D24)</f>
        <v>21686.84</v>
      </c>
      <c r="E18" s="141"/>
      <c r="F18" s="141"/>
      <c r="G18" s="142"/>
      <c r="H18" s="142"/>
      <c r="I18" s="144"/>
      <c r="J18" s="468">
        <f>SUM(I19:I24)</f>
        <v>5.9630886039886031</v>
      </c>
      <c r="K18" s="469"/>
      <c r="L18" s="470"/>
    </row>
    <row r="19" spans="1:13" s="136" customFormat="1" ht="15" customHeight="1">
      <c r="A19" s="149" t="s">
        <v>467</v>
      </c>
      <c r="B19" s="150">
        <v>1174.32</v>
      </c>
      <c r="C19" s="150">
        <v>0</v>
      </c>
      <c r="D19" s="151">
        <f t="shared" ref="D19:D24" si="7">SUM(B19:C19)</f>
        <v>1174.32</v>
      </c>
      <c r="E19" s="152">
        <v>3510</v>
      </c>
      <c r="F19" s="154">
        <f t="shared" si="3"/>
        <v>2.8490028490028488E-4</v>
      </c>
      <c r="G19" s="153" t="s">
        <v>98</v>
      </c>
      <c r="H19" s="153" t="s">
        <v>98</v>
      </c>
      <c r="I19" s="164">
        <f>F19*D19</f>
        <v>0.33456410256410252</v>
      </c>
      <c r="J19" s="468"/>
      <c r="K19" s="469"/>
      <c r="L19" s="470"/>
    </row>
    <row r="20" spans="1:13" s="136" customFormat="1" ht="15" customHeight="1">
      <c r="A20" s="149" t="s">
        <v>468</v>
      </c>
      <c r="B20" s="150">
        <v>1080.57</v>
      </c>
      <c r="C20" s="150">
        <v>0</v>
      </c>
      <c r="D20" s="151">
        <f t="shared" si="7"/>
        <v>1080.57</v>
      </c>
      <c r="E20" s="152">
        <v>11700</v>
      </c>
      <c r="F20" s="154">
        <f t="shared" si="3"/>
        <v>8.547008547008547E-5</v>
      </c>
      <c r="G20" s="153" t="s">
        <v>98</v>
      </c>
      <c r="H20" s="153" t="s">
        <v>98</v>
      </c>
      <c r="I20" s="164">
        <f>F20*D20</f>
        <v>9.2356410256410254E-2</v>
      </c>
      <c r="J20" s="468"/>
      <c r="K20" s="469"/>
      <c r="L20" s="470"/>
    </row>
    <row r="21" spans="1:13" s="136" customFormat="1" ht="15" customHeight="1">
      <c r="A21" s="149" t="s">
        <v>469</v>
      </c>
      <c r="B21" s="150">
        <v>76.23</v>
      </c>
      <c r="C21" s="150">
        <v>0</v>
      </c>
      <c r="D21" s="151">
        <f t="shared" si="7"/>
        <v>76.23</v>
      </c>
      <c r="E21" s="152">
        <v>3510</v>
      </c>
      <c r="F21" s="154">
        <f t="shared" si="3"/>
        <v>2.8490028490028488E-4</v>
      </c>
      <c r="G21" s="153" t="s">
        <v>98</v>
      </c>
      <c r="H21" s="153" t="s">
        <v>98</v>
      </c>
      <c r="I21" s="164">
        <f t="shared" ref="I21:I23" si="8">F21*D21</f>
        <v>2.1717948717948719E-2</v>
      </c>
      <c r="J21" s="468"/>
      <c r="K21" s="469"/>
      <c r="L21" s="470"/>
    </row>
    <row r="22" spans="1:13" s="136" customFormat="1" ht="15" customHeight="1">
      <c r="A22" s="149" t="s">
        <v>470</v>
      </c>
      <c r="B22" s="150">
        <v>7275.07</v>
      </c>
      <c r="C22" s="150">
        <v>9406</v>
      </c>
      <c r="D22" s="151">
        <f t="shared" si="7"/>
        <v>16681.07</v>
      </c>
      <c r="E22" s="152">
        <v>3510</v>
      </c>
      <c r="F22" s="154">
        <f t="shared" si="3"/>
        <v>2.8490028490028488E-4</v>
      </c>
      <c r="G22" s="153" t="s">
        <v>98</v>
      </c>
      <c r="H22" s="153" t="s">
        <v>98</v>
      </c>
      <c r="I22" s="164">
        <f t="shared" si="8"/>
        <v>4.7524415954415948</v>
      </c>
      <c r="J22" s="468"/>
      <c r="K22" s="469"/>
      <c r="L22" s="470"/>
    </row>
    <row r="23" spans="1:13" s="136" customFormat="1" ht="15" customHeight="1">
      <c r="A23" s="149" t="s">
        <v>471</v>
      </c>
      <c r="B23" s="150">
        <v>2674.65</v>
      </c>
      <c r="C23" s="150">
        <v>0</v>
      </c>
      <c r="D23" s="151">
        <f t="shared" si="7"/>
        <v>2674.65</v>
      </c>
      <c r="E23" s="152">
        <v>3510</v>
      </c>
      <c r="F23" s="154">
        <f t="shared" si="3"/>
        <v>2.8490028490028488E-4</v>
      </c>
      <c r="G23" s="153" t="s">
        <v>98</v>
      </c>
      <c r="H23" s="153" t="s">
        <v>98</v>
      </c>
      <c r="I23" s="164">
        <f t="shared" si="8"/>
        <v>0.76200854700854703</v>
      </c>
      <c r="J23" s="468"/>
      <c r="K23" s="469"/>
      <c r="L23" s="470"/>
    </row>
    <row r="24" spans="1:13" s="136" customFormat="1" ht="15" customHeight="1">
      <c r="A24" s="149" t="s">
        <v>472</v>
      </c>
      <c r="B24" s="150">
        <v>0</v>
      </c>
      <c r="C24" s="150">
        <v>0</v>
      </c>
      <c r="D24" s="151">
        <f t="shared" si="7"/>
        <v>0</v>
      </c>
      <c r="E24" s="153" t="s">
        <v>98</v>
      </c>
      <c r="F24" s="154" t="str">
        <f t="shared" si="3"/>
        <v>N/A</v>
      </c>
      <c r="G24" s="153" t="s">
        <v>98</v>
      </c>
      <c r="H24" s="153" t="s">
        <v>98</v>
      </c>
      <c r="I24" s="153" t="s">
        <v>98</v>
      </c>
      <c r="J24" s="468"/>
      <c r="K24" s="469"/>
      <c r="L24" s="470"/>
    </row>
    <row r="25" spans="1:13" s="136" customFormat="1" ht="15.6">
      <c r="A25" s="147" t="s">
        <v>439</v>
      </c>
      <c r="B25" s="140">
        <f>SUM(B26:B28)</f>
        <v>2037.1000000000001</v>
      </c>
      <c r="C25" s="140">
        <f>SUM(C26:C28)</f>
        <v>0</v>
      </c>
      <c r="D25" s="140">
        <f>SUM(D26:D28)</f>
        <v>2037.1000000000001</v>
      </c>
      <c r="E25" s="141"/>
      <c r="F25" s="141"/>
      <c r="G25" s="142"/>
      <c r="H25" s="142"/>
      <c r="I25" s="144"/>
      <c r="J25" s="468">
        <f>SUM(I26:I28)</f>
        <v>9.0877283859740012E-5</v>
      </c>
      <c r="K25" s="469"/>
      <c r="L25" s="470"/>
    </row>
    <row r="26" spans="1:13" s="136" customFormat="1" ht="34.35" customHeight="1">
      <c r="A26" s="149" t="s">
        <v>440</v>
      </c>
      <c r="B26" s="150">
        <v>0</v>
      </c>
      <c r="C26" s="150">
        <v>0</v>
      </c>
      <c r="D26" s="151">
        <f>SUM(B26:C26)</f>
        <v>0</v>
      </c>
      <c r="E26" s="152" t="s">
        <v>98</v>
      </c>
      <c r="F26" s="154" t="str">
        <f t="shared" si="3"/>
        <v>N/A</v>
      </c>
      <c r="G26" s="154" t="s">
        <v>98</v>
      </c>
      <c r="H26" s="154" t="s">
        <v>98</v>
      </c>
      <c r="I26" s="154" t="s">
        <v>98</v>
      </c>
      <c r="J26" s="468"/>
      <c r="K26" s="469"/>
      <c r="L26" s="470"/>
    </row>
    <row r="27" spans="1:13" s="136" customFormat="1" ht="15" customHeight="1">
      <c r="A27" s="149" t="s">
        <v>473</v>
      </c>
      <c r="B27" s="150">
        <v>509.42</v>
      </c>
      <c r="C27" s="150">
        <v>0</v>
      </c>
      <c r="D27" s="151">
        <f>SUM(B27:C27)</f>
        <v>509.42</v>
      </c>
      <c r="E27" s="152">
        <v>342</v>
      </c>
      <c r="F27" s="154">
        <f t="shared" si="3"/>
        <v>2.9239766081871343E-3</v>
      </c>
      <c r="G27" s="153">
        <v>16</v>
      </c>
      <c r="H27" s="154">
        <f>1/(ROUNDUP(30/7,2)*40*6)</f>
        <v>9.7125097125097136E-4</v>
      </c>
      <c r="I27" s="154">
        <f>H27*G27*F27</f>
        <v>4.5438641929870006E-5</v>
      </c>
      <c r="J27" s="468"/>
      <c r="K27" s="469"/>
      <c r="L27" s="470"/>
    </row>
    <row r="28" spans="1:13" s="136" customFormat="1" ht="15" customHeight="1">
      <c r="A28" s="149" t="s">
        <v>474</v>
      </c>
      <c r="B28" s="150">
        <v>1527.68</v>
      </c>
      <c r="C28" s="150">
        <v>0</v>
      </c>
      <c r="D28" s="151">
        <f>SUM(B28:C28)</f>
        <v>1527.68</v>
      </c>
      <c r="E28" s="152">
        <v>342</v>
      </c>
      <c r="F28" s="154">
        <f t="shared" si="3"/>
        <v>2.9239766081871343E-3</v>
      </c>
      <c r="G28" s="153">
        <v>16</v>
      </c>
      <c r="H28" s="154">
        <f>1/(ROUNDUP(30/7,2)*40*6)</f>
        <v>9.7125097125097136E-4</v>
      </c>
      <c r="I28" s="154">
        <f>H28*G28*F28</f>
        <v>4.5438641929870006E-5</v>
      </c>
      <c r="J28" s="468"/>
      <c r="K28" s="469"/>
      <c r="L28" s="470"/>
    </row>
    <row r="29" spans="1:13" s="136" customFormat="1" ht="37.35" customHeight="1">
      <c r="A29" s="155" t="s">
        <v>441</v>
      </c>
      <c r="B29" s="226">
        <v>0</v>
      </c>
      <c r="C29" s="140">
        <f t="shared" ref="C29" si="9">C30</f>
        <v>0</v>
      </c>
      <c r="D29" s="140">
        <f t="shared" ref="D29" si="10">D30</f>
        <v>0</v>
      </c>
      <c r="E29" s="141"/>
      <c r="F29" s="141"/>
      <c r="G29" s="142"/>
      <c r="H29" s="142"/>
      <c r="I29" s="144"/>
      <c r="J29" s="468" t="str">
        <f>I30</f>
        <v>N/A</v>
      </c>
      <c r="K29" s="469"/>
      <c r="L29" s="470"/>
    </row>
    <row r="30" spans="1:13" s="136" customFormat="1" ht="28.65" customHeight="1">
      <c r="A30" s="156" t="s">
        <v>442</v>
      </c>
      <c r="B30" s="150">
        <v>0</v>
      </c>
      <c r="C30" s="150">
        <v>0</v>
      </c>
      <c r="D30" s="151">
        <f>SUM(B30:C30)</f>
        <v>0</v>
      </c>
      <c r="E30" s="152" t="s">
        <v>98</v>
      </c>
      <c r="F30" s="154" t="str">
        <f t="shared" si="3"/>
        <v>N/A</v>
      </c>
      <c r="G30" s="153" t="s">
        <v>98</v>
      </c>
      <c r="H30" s="154" t="s">
        <v>98</v>
      </c>
      <c r="I30" s="154" t="s">
        <v>98</v>
      </c>
      <c r="J30" s="468"/>
      <c r="K30" s="469"/>
      <c r="L30" s="470"/>
    </row>
    <row r="31" spans="1:13" s="136" customFormat="1" ht="15.6">
      <c r="A31" s="157" t="s">
        <v>475</v>
      </c>
      <c r="B31" s="140">
        <f>SUM(B10:B17)+SUM(B19:B24)+SUM(B26:B28)+SUM(B30)</f>
        <v>30794.899999999994</v>
      </c>
      <c r="C31" s="140">
        <f>SUM(C10:C17)+SUM(C19:C24)+SUM(C26:C28)+SUM(C30)</f>
        <v>9445</v>
      </c>
      <c r="D31" s="140">
        <f>D9+D18+D25+D29</f>
        <v>40239.9</v>
      </c>
      <c r="E31" s="152"/>
      <c r="F31" s="152"/>
      <c r="G31" s="153"/>
      <c r="H31" s="153"/>
      <c r="I31" s="150"/>
      <c r="J31" s="145"/>
      <c r="K31" s="145"/>
      <c r="L31" s="148"/>
    </row>
    <row r="32" spans="1:13" s="136" customFormat="1" ht="18" customHeight="1">
      <c r="A32" s="131"/>
      <c r="L32" s="133"/>
      <c r="M32" s="137"/>
    </row>
    <row r="33" spans="1:12" s="136" customFormat="1" ht="18" customHeight="1">
      <c r="A33" s="472" t="s">
        <v>476</v>
      </c>
      <c r="B33" s="466" t="s">
        <v>444</v>
      </c>
      <c r="C33" s="467"/>
      <c r="D33" s="466" t="s">
        <v>445</v>
      </c>
      <c r="E33" s="471"/>
      <c r="F33" s="471"/>
      <c r="G33" s="471"/>
      <c r="H33" s="471"/>
      <c r="I33" s="471"/>
      <c r="J33" s="471"/>
      <c r="K33" s="467"/>
      <c r="L33" s="134"/>
    </row>
    <row r="34" spans="1:12" s="136" customFormat="1" ht="45.75" customHeight="1">
      <c r="A34" s="473"/>
      <c r="B34" s="179" t="s">
        <v>477</v>
      </c>
      <c r="C34" s="142" t="s">
        <v>448</v>
      </c>
      <c r="D34" s="141" t="s">
        <v>449</v>
      </c>
      <c r="E34" s="141" t="s">
        <v>450</v>
      </c>
      <c r="F34" s="143" t="s">
        <v>451</v>
      </c>
      <c r="G34" s="143" t="s">
        <v>452</v>
      </c>
      <c r="H34" s="146" t="s">
        <v>453</v>
      </c>
      <c r="I34" s="146" t="s">
        <v>454</v>
      </c>
      <c r="J34" s="146" t="s">
        <v>455</v>
      </c>
      <c r="K34" s="146" t="s">
        <v>478</v>
      </c>
      <c r="L34" s="134"/>
    </row>
    <row r="35" spans="1:12" s="136" customFormat="1" ht="18" customHeight="1">
      <c r="A35" s="147" t="s">
        <v>457</v>
      </c>
      <c r="B35" s="140">
        <f t="shared" ref="B35:C35" si="11">SUM(B36:B43)</f>
        <v>550</v>
      </c>
      <c r="C35" s="140">
        <f t="shared" si="11"/>
        <v>550</v>
      </c>
      <c r="D35" s="141"/>
      <c r="E35" s="141"/>
      <c r="F35" s="142"/>
      <c r="G35" s="142"/>
      <c r="H35" s="146"/>
      <c r="I35" s="468">
        <f>SUM(H36:H43)</f>
        <v>1.0003351698806244</v>
      </c>
      <c r="J35" s="469">
        <f>SUM(I35:I56)</f>
        <v>1.0010258372379583</v>
      </c>
      <c r="K35" s="470">
        <f>ROUND(J35,0)</f>
        <v>1</v>
      </c>
      <c r="L35" s="134"/>
    </row>
    <row r="36" spans="1:12" s="136" customFormat="1" ht="18" customHeight="1">
      <c r="A36" s="149" t="s">
        <v>458</v>
      </c>
      <c r="B36" s="150">
        <v>0</v>
      </c>
      <c r="C36" s="151">
        <f t="shared" ref="C36:C43" si="12">SUM(B36:B36)</f>
        <v>0</v>
      </c>
      <c r="D36" s="153" t="s">
        <v>98</v>
      </c>
      <c r="E36" s="154" t="str">
        <f>IF(C36=0,"N/A",1/D36)</f>
        <v>N/A</v>
      </c>
      <c r="F36" s="153" t="s">
        <v>98</v>
      </c>
      <c r="G36" s="153" t="s">
        <v>98</v>
      </c>
      <c r="H36" s="153" t="s">
        <v>98</v>
      </c>
      <c r="I36" s="468"/>
      <c r="J36" s="469"/>
      <c r="K36" s="470"/>
      <c r="L36" s="134"/>
    </row>
    <row r="37" spans="1:12" s="136" customFormat="1" ht="18" customHeight="1">
      <c r="A37" s="149" t="s">
        <v>459</v>
      </c>
      <c r="B37" s="150">
        <v>526.62</v>
      </c>
      <c r="C37" s="151">
        <f t="shared" si="12"/>
        <v>526.62</v>
      </c>
      <c r="D37" s="152">
        <v>605</v>
      </c>
      <c r="E37" s="154">
        <f t="shared" ref="E37:E56" si="13">IF(C37=0,"N/A",1/D37)</f>
        <v>1.652892561983471E-3</v>
      </c>
      <c r="F37" s="153" t="s">
        <v>98</v>
      </c>
      <c r="G37" s="153" t="s">
        <v>98</v>
      </c>
      <c r="H37" s="165">
        <f t="shared" ref="H37" si="14">E37*C37</f>
        <v>0.87044628099173549</v>
      </c>
      <c r="I37" s="468"/>
      <c r="J37" s="469"/>
      <c r="K37" s="470"/>
      <c r="L37" s="134"/>
    </row>
    <row r="38" spans="1:12" s="136" customFormat="1" ht="18" customHeight="1">
      <c r="A38" s="149" t="s">
        <v>460</v>
      </c>
      <c r="B38" s="150">
        <v>0</v>
      </c>
      <c r="C38" s="151">
        <f t="shared" si="12"/>
        <v>0</v>
      </c>
      <c r="D38" s="153" t="s">
        <v>98</v>
      </c>
      <c r="E38" s="154" t="str">
        <f t="shared" si="13"/>
        <v>N/A</v>
      </c>
      <c r="F38" s="153" t="s">
        <v>98</v>
      </c>
      <c r="G38" s="153" t="s">
        <v>98</v>
      </c>
      <c r="H38" s="153" t="s">
        <v>98</v>
      </c>
      <c r="I38" s="468"/>
      <c r="J38" s="469"/>
      <c r="K38" s="470"/>
      <c r="L38" s="134"/>
    </row>
    <row r="39" spans="1:12" s="136" customFormat="1" ht="18" customHeight="1">
      <c r="A39" s="149" t="s">
        <v>461</v>
      </c>
      <c r="B39" s="150">
        <v>0</v>
      </c>
      <c r="C39" s="151">
        <f t="shared" si="12"/>
        <v>0</v>
      </c>
      <c r="D39" s="153" t="s">
        <v>98</v>
      </c>
      <c r="E39" s="154" t="str">
        <f t="shared" si="13"/>
        <v>N/A</v>
      </c>
      <c r="F39" s="153" t="s">
        <v>98</v>
      </c>
      <c r="G39" s="153" t="s">
        <v>98</v>
      </c>
      <c r="H39" s="153" t="s">
        <v>98</v>
      </c>
      <c r="I39" s="468"/>
      <c r="J39" s="469"/>
      <c r="K39" s="470"/>
      <c r="L39" s="134"/>
    </row>
    <row r="40" spans="1:12" s="136" customFormat="1" ht="18" customHeight="1">
      <c r="A40" s="149" t="s">
        <v>462</v>
      </c>
      <c r="B40" s="150">
        <v>0</v>
      </c>
      <c r="C40" s="151">
        <f t="shared" si="12"/>
        <v>0</v>
      </c>
      <c r="D40" s="153" t="s">
        <v>98</v>
      </c>
      <c r="E40" s="154" t="str">
        <f t="shared" si="13"/>
        <v>N/A</v>
      </c>
      <c r="F40" s="153" t="s">
        <v>98</v>
      </c>
      <c r="G40" s="153" t="s">
        <v>98</v>
      </c>
      <c r="H40" s="153" t="s">
        <v>98</v>
      </c>
      <c r="I40" s="468"/>
      <c r="J40" s="469"/>
      <c r="K40" s="470"/>
      <c r="L40" s="134"/>
    </row>
    <row r="41" spans="1:12" s="136" customFormat="1" ht="18" customHeight="1">
      <c r="A41" s="149" t="s">
        <v>463</v>
      </c>
      <c r="B41" s="150">
        <v>0</v>
      </c>
      <c r="C41" s="151">
        <f t="shared" si="12"/>
        <v>0</v>
      </c>
      <c r="D41" s="153" t="s">
        <v>98</v>
      </c>
      <c r="E41" s="154" t="str">
        <f t="shared" si="13"/>
        <v>N/A</v>
      </c>
      <c r="F41" s="153" t="s">
        <v>98</v>
      </c>
      <c r="G41" s="153" t="s">
        <v>98</v>
      </c>
      <c r="H41" s="153" t="s">
        <v>98</v>
      </c>
      <c r="I41" s="468"/>
      <c r="J41" s="469"/>
      <c r="K41" s="470"/>
      <c r="L41" s="134"/>
    </row>
    <row r="42" spans="1:12" s="136" customFormat="1" ht="18" customHeight="1">
      <c r="A42" s="149" t="s">
        <v>464</v>
      </c>
      <c r="B42" s="150">
        <v>0</v>
      </c>
      <c r="C42" s="151">
        <f t="shared" si="12"/>
        <v>0</v>
      </c>
      <c r="D42" s="153" t="s">
        <v>98</v>
      </c>
      <c r="E42" s="154" t="str">
        <f t="shared" si="13"/>
        <v>N/A</v>
      </c>
      <c r="F42" s="153" t="s">
        <v>98</v>
      </c>
      <c r="G42" s="153" t="s">
        <v>98</v>
      </c>
      <c r="H42" s="153" t="s">
        <v>98</v>
      </c>
      <c r="I42" s="468"/>
      <c r="J42" s="469"/>
      <c r="K42" s="470"/>
      <c r="L42" s="134"/>
    </row>
    <row r="43" spans="1:12" s="136" customFormat="1" ht="18" customHeight="1">
      <c r="A43" s="149" t="s">
        <v>465</v>
      </c>
      <c r="B43" s="150">
        <v>23.38</v>
      </c>
      <c r="C43" s="151">
        <f t="shared" si="12"/>
        <v>23.38</v>
      </c>
      <c r="D43" s="152">
        <v>180</v>
      </c>
      <c r="E43" s="154">
        <f t="shared" si="13"/>
        <v>5.5555555555555558E-3</v>
      </c>
      <c r="F43" s="153" t="s">
        <v>98</v>
      </c>
      <c r="G43" s="153" t="s">
        <v>98</v>
      </c>
      <c r="H43" s="165">
        <f t="shared" ref="H43" si="15">E43*C43</f>
        <v>0.12988888888888889</v>
      </c>
      <c r="I43" s="468"/>
      <c r="J43" s="469"/>
      <c r="K43" s="470"/>
      <c r="L43" s="134"/>
    </row>
    <row r="44" spans="1:12" s="136" customFormat="1" ht="18" customHeight="1">
      <c r="A44" s="147" t="s">
        <v>466</v>
      </c>
      <c r="B44" s="140">
        <f t="shared" ref="B44:C44" si="16">SUM(B45:B50)</f>
        <v>0</v>
      </c>
      <c r="C44" s="140">
        <f t="shared" si="16"/>
        <v>0</v>
      </c>
      <c r="D44" s="141"/>
      <c r="E44" s="141"/>
      <c r="F44" s="142"/>
      <c r="G44" s="142"/>
      <c r="H44" s="144"/>
      <c r="I44" s="468" t="s">
        <v>98</v>
      </c>
      <c r="J44" s="469"/>
      <c r="K44" s="470"/>
      <c r="L44" s="134"/>
    </row>
    <row r="45" spans="1:12" s="136" customFormat="1" ht="29.25" customHeight="1">
      <c r="A45" s="149" t="s">
        <v>467</v>
      </c>
      <c r="B45" s="150">
        <v>0</v>
      </c>
      <c r="C45" s="151">
        <f t="shared" ref="C45:C50" si="17">SUM(B45:B45)</f>
        <v>0</v>
      </c>
      <c r="D45" s="153" t="s">
        <v>98</v>
      </c>
      <c r="E45" s="154" t="str">
        <f t="shared" si="13"/>
        <v>N/A</v>
      </c>
      <c r="F45" s="153" t="s">
        <v>98</v>
      </c>
      <c r="G45" s="153" t="s">
        <v>98</v>
      </c>
      <c r="H45" s="153" t="s">
        <v>98</v>
      </c>
      <c r="I45" s="468"/>
      <c r="J45" s="469"/>
      <c r="K45" s="470"/>
      <c r="L45" s="134"/>
    </row>
    <row r="46" spans="1:12" s="136" customFormat="1" ht="18" customHeight="1">
      <c r="A46" s="149" t="s">
        <v>468</v>
      </c>
      <c r="B46" s="150">
        <v>0</v>
      </c>
      <c r="C46" s="151">
        <f t="shared" si="17"/>
        <v>0</v>
      </c>
      <c r="D46" s="153" t="s">
        <v>98</v>
      </c>
      <c r="E46" s="154" t="str">
        <f t="shared" si="13"/>
        <v>N/A</v>
      </c>
      <c r="F46" s="153" t="s">
        <v>98</v>
      </c>
      <c r="G46" s="153" t="s">
        <v>98</v>
      </c>
      <c r="H46" s="153" t="s">
        <v>98</v>
      </c>
      <c r="I46" s="468"/>
      <c r="J46" s="469"/>
      <c r="K46" s="470"/>
      <c r="L46" s="134"/>
    </row>
    <row r="47" spans="1:12" s="136" customFormat="1" ht="18" customHeight="1">
      <c r="A47" s="149" t="s">
        <v>469</v>
      </c>
      <c r="B47" s="150">
        <v>0</v>
      </c>
      <c r="C47" s="151">
        <f t="shared" si="17"/>
        <v>0</v>
      </c>
      <c r="D47" s="153" t="s">
        <v>98</v>
      </c>
      <c r="E47" s="154" t="str">
        <f t="shared" si="13"/>
        <v>N/A</v>
      </c>
      <c r="F47" s="153" t="s">
        <v>98</v>
      </c>
      <c r="G47" s="153" t="s">
        <v>98</v>
      </c>
      <c r="H47" s="153" t="s">
        <v>98</v>
      </c>
      <c r="I47" s="468"/>
      <c r="J47" s="469"/>
      <c r="K47" s="470"/>
      <c r="L47" s="134"/>
    </row>
    <row r="48" spans="1:12" s="136" customFormat="1" ht="18" customHeight="1">
      <c r="A48" s="149" t="s">
        <v>470</v>
      </c>
      <c r="B48" s="150">
        <v>0</v>
      </c>
      <c r="C48" s="151">
        <f t="shared" si="17"/>
        <v>0</v>
      </c>
      <c r="D48" s="153" t="s">
        <v>98</v>
      </c>
      <c r="E48" s="154" t="str">
        <f t="shared" si="13"/>
        <v>N/A</v>
      </c>
      <c r="F48" s="153" t="s">
        <v>98</v>
      </c>
      <c r="G48" s="153" t="s">
        <v>98</v>
      </c>
      <c r="H48" s="153" t="s">
        <v>98</v>
      </c>
      <c r="I48" s="468"/>
      <c r="J48" s="469"/>
      <c r="K48" s="470"/>
      <c r="L48" s="134"/>
    </row>
    <row r="49" spans="1:13" s="136" customFormat="1" ht="18" customHeight="1">
      <c r="A49" s="149" t="s">
        <v>471</v>
      </c>
      <c r="B49" s="150">
        <v>0</v>
      </c>
      <c r="C49" s="151">
        <f t="shared" si="17"/>
        <v>0</v>
      </c>
      <c r="D49" s="153" t="s">
        <v>98</v>
      </c>
      <c r="E49" s="154" t="str">
        <f t="shared" si="13"/>
        <v>N/A</v>
      </c>
      <c r="F49" s="153" t="s">
        <v>98</v>
      </c>
      <c r="G49" s="153" t="s">
        <v>98</v>
      </c>
      <c r="H49" s="153" t="s">
        <v>98</v>
      </c>
      <c r="I49" s="468"/>
      <c r="J49" s="469"/>
      <c r="K49" s="470"/>
      <c r="L49" s="134"/>
    </row>
    <row r="50" spans="1:13" s="136" customFormat="1" ht="18" customHeight="1">
      <c r="A50" s="149" t="s">
        <v>472</v>
      </c>
      <c r="B50" s="150">
        <v>0</v>
      </c>
      <c r="C50" s="151">
        <f t="shared" si="17"/>
        <v>0</v>
      </c>
      <c r="D50" s="153" t="s">
        <v>98</v>
      </c>
      <c r="E50" s="154" t="str">
        <f t="shared" si="13"/>
        <v>N/A</v>
      </c>
      <c r="F50" s="153" t="s">
        <v>98</v>
      </c>
      <c r="G50" s="153" t="s">
        <v>98</v>
      </c>
      <c r="H50" s="153" t="s">
        <v>98</v>
      </c>
      <c r="I50" s="468"/>
      <c r="J50" s="469"/>
      <c r="K50" s="470"/>
      <c r="L50" s="134"/>
    </row>
    <row r="51" spans="1:13" s="136" customFormat="1" ht="18" customHeight="1">
      <c r="A51" s="147" t="s">
        <v>439</v>
      </c>
      <c r="B51" s="140">
        <f>SUM(B52:B54)</f>
        <v>140</v>
      </c>
      <c r="C51" s="140">
        <f>SUM(C52:C54)</f>
        <v>140</v>
      </c>
      <c r="D51" s="141"/>
      <c r="E51" s="141"/>
      <c r="F51" s="142"/>
      <c r="G51" s="142"/>
      <c r="H51" s="144"/>
      <c r="I51" s="468">
        <f>SUM(H52:H54)</f>
        <v>6.9066735733402408E-4</v>
      </c>
      <c r="J51" s="469"/>
      <c r="K51" s="470"/>
      <c r="L51" s="134"/>
    </row>
    <row r="52" spans="1:13" s="136" customFormat="1" ht="18" customHeight="1">
      <c r="A52" s="149" t="s">
        <v>440</v>
      </c>
      <c r="B52" s="150">
        <v>0</v>
      </c>
      <c r="C52" s="151">
        <f>SUM(B52:B52)</f>
        <v>0</v>
      </c>
      <c r="D52" s="153" t="s">
        <v>98</v>
      </c>
      <c r="E52" s="154" t="str">
        <f t="shared" si="13"/>
        <v>N/A</v>
      </c>
      <c r="F52" s="153" t="s">
        <v>98</v>
      </c>
      <c r="G52" s="154" t="s">
        <v>98</v>
      </c>
      <c r="H52" s="153" t="s">
        <v>98</v>
      </c>
      <c r="I52" s="468"/>
      <c r="J52" s="469"/>
      <c r="K52" s="470"/>
      <c r="L52" s="134"/>
    </row>
    <row r="53" spans="1:13" s="136" customFormat="1" ht="18" customHeight="1">
      <c r="A53" s="149" t="s">
        <v>473</v>
      </c>
      <c r="B53" s="150">
        <v>70</v>
      </c>
      <c r="C53" s="151">
        <f>SUM(B53:B53)</f>
        <v>70</v>
      </c>
      <c r="D53" s="152">
        <v>270</v>
      </c>
      <c r="E53" s="154">
        <f t="shared" si="13"/>
        <v>3.7037037037037038E-3</v>
      </c>
      <c r="F53" s="153">
        <v>16</v>
      </c>
      <c r="G53" s="154">
        <f t="shared" ref="G53:G54" si="18">1/(ROUNDUP(30/7,2)*40)</f>
        <v>5.8275058275058279E-3</v>
      </c>
      <c r="H53" s="154">
        <f>G53*F53*E53</f>
        <v>3.4533367866701204E-4</v>
      </c>
      <c r="I53" s="468"/>
      <c r="J53" s="469"/>
      <c r="K53" s="470"/>
      <c r="L53" s="134"/>
    </row>
    <row r="54" spans="1:13" s="136" customFormat="1" ht="18" customHeight="1">
      <c r="A54" s="149" t="s">
        <v>474</v>
      </c>
      <c r="B54" s="150">
        <v>70</v>
      </c>
      <c r="C54" s="151">
        <f>SUM(B54:B54)</f>
        <v>70</v>
      </c>
      <c r="D54" s="152">
        <v>270</v>
      </c>
      <c r="E54" s="154">
        <f t="shared" si="13"/>
        <v>3.7037037037037038E-3</v>
      </c>
      <c r="F54" s="153">
        <v>16</v>
      </c>
      <c r="G54" s="154">
        <f t="shared" si="18"/>
        <v>5.8275058275058279E-3</v>
      </c>
      <c r="H54" s="154">
        <f>G54*F54*E54</f>
        <v>3.4533367866701204E-4</v>
      </c>
      <c r="I54" s="468"/>
      <c r="J54" s="469"/>
      <c r="K54" s="470"/>
      <c r="L54" s="134"/>
    </row>
    <row r="55" spans="1:13" s="136" customFormat="1" ht="18" customHeight="1">
      <c r="A55" s="155" t="s">
        <v>441</v>
      </c>
      <c r="B55" s="140">
        <f t="shared" ref="B55:C55" si="19">B56</f>
        <v>0</v>
      </c>
      <c r="C55" s="140">
        <f t="shared" si="19"/>
        <v>0</v>
      </c>
      <c r="D55" s="141"/>
      <c r="E55" s="141"/>
      <c r="F55" s="142"/>
      <c r="G55" s="142"/>
      <c r="H55" s="144"/>
      <c r="I55" s="468" t="str">
        <f>H56</f>
        <v>N/A</v>
      </c>
      <c r="J55" s="469"/>
      <c r="K55" s="470"/>
      <c r="L55" s="134"/>
    </row>
    <row r="56" spans="1:13" s="136" customFormat="1" ht="18" customHeight="1">
      <c r="A56" s="156" t="s">
        <v>442</v>
      </c>
      <c r="B56" s="150">
        <v>0</v>
      </c>
      <c r="C56" s="151">
        <f>SUM(B56:B56)</f>
        <v>0</v>
      </c>
      <c r="D56" s="153" t="s">
        <v>98</v>
      </c>
      <c r="E56" s="154" t="str">
        <f t="shared" si="13"/>
        <v>N/A</v>
      </c>
      <c r="F56" s="153" t="s">
        <v>98</v>
      </c>
      <c r="G56" s="153" t="s">
        <v>98</v>
      </c>
      <c r="H56" s="153" t="s">
        <v>98</v>
      </c>
      <c r="I56" s="468"/>
      <c r="J56" s="469"/>
      <c r="K56" s="470"/>
      <c r="L56" s="134"/>
    </row>
    <row r="57" spans="1:13" s="136" customFormat="1" ht="18" customHeight="1">
      <c r="A57" s="157" t="s">
        <v>475</v>
      </c>
      <c r="B57" s="140">
        <f>SUM(B36:B43)+SUM(B45:B50)+SUM(B52:B54)+SUM(B56)</f>
        <v>690</v>
      </c>
      <c r="C57" s="140">
        <f>C35+C44+C51+C55</f>
        <v>690</v>
      </c>
      <c r="D57" s="152"/>
      <c r="E57" s="152"/>
      <c r="F57" s="153"/>
      <c r="G57" s="153"/>
      <c r="H57" s="150"/>
      <c r="I57" s="145"/>
      <c r="J57" s="145"/>
      <c r="K57" s="148"/>
      <c r="L57" s="134"/>
    </row>
    <row r="58" spans="1:13" s="136" customFormat="1" ht="18" customHeight="1">
      <c r="A58" s="131"/>
      <c r="L58" s="133"/>
      <c r="M58" s="137"/>
    </row>
    <row r="59" spans="1:13" s="136" customFormat="1" ht="24.9" customHeight="1">
      <c r="A59" s="472" t="s">
        <v>479</v>
      </c>
      <c r="B59" s="466" t="s">
        <v>444</v>
      </c>
      <c r="C59" s="467"/>
      <c r="D59" s="466" t="s">
        <v>480</v>
      </c>
      <c r="E59" s="471"/>
      <c r="F59" s="471"/>
      <c r="G59" s="471"/>
      <c r="H59" s="471"/>
      <c r="I59" s="471"/>
      <c r="J59" s="471"/>
      <c r="K59" s="467"/>
      <c r="L59" s="134"/>
    </row>
    <row r="60" spans="1:13" s="136" customFormat="1" ht="46.8">
      <c r="A60" s="473"/>
      <c r="B60" s="146" t="s">
        <v>481</v>
      </c>
      <c r="C60" s="142" t="s">
        <v>448</v>
      </c>
      <c r="D60" s="141" t="s">
        <v>482</v>
      </c>
      <c r="E60" s="141" t="s">
        <v>450</v>
      </c>
      <c r="F60" s="143" t="s">
        <v>451</v>
      </c>
      <c r="G60" s="143" t="s">
        <v>452</v>
      </c>
      <c r="H60" s="146" t="s">
        <v>453</v>
      </c>
      <c r="I60" s="146" t="s">
        <v>454</v>
      </c>
      <c r="J60" s="146" t="s">
        <v>455</v>
      </c>
      <c r="K60" s="146" t="s">
        <v>478</v>
      </c>
      <c r="L60" s="134"/>
    </row>
    <row r="61" spans="1:13" s="136" customFormat="1" ht="15.6">
      <c r="A61" s="147" t="s">
        <v>457</v>
      </c>
      <c r="B61" s="140">
        <f>SUM(B62:B69)</f>
        <v>1780</v>
      </c>
      <c r="C61" s="140">
        <f t="shared" ref="C61" si="20">SUM(C62:C69)</f>
        <v>1780</v>
      </c>
      <c r="D61" s="141"/>
      <c r="E61" s="141"/>
      <c r="F61" s="142"/>
      <c r="G61" s="142"/>
      <c r="H61" s="146"/>
      <c r="I61" s="468">
        <f>SUM(H62:H69)</f>
        <v>1.66181</v>
      </c>
      <c r="J61" s="469">
        <f>SUM(I61:I82)</f>
        <v>3.0044112349805583</v>
      </c>
      <c r="K61" s="470">
        <f>ROUND(J61,0)</f>
        <v>3</v>
      </c>
      <c r="L61" s="134"/>
    </row>
    <row r="62" spans="1:13" s="136" customFormat="1" ht="15.6">
      <c r="A62" s="149" t="s">
        <v>458</v>
      </c>
      <c r="B62" s="150">
        <v>0</v>
      </c>
      <c r="C62" s="151">
        <f t="shared" ref="C62:C69" si="21">SUM(B62:B62)</f>
        <v>0</v>
      </c>
      <c r="D62" s="154" t="s">
        <v>98</v>
      </c>
      <c r="E62" s="154" t="str">
        <f t="shared" ref="E62:E82" si="22">IF(C62=0,"N/A",1/D62)</f>
        <v>N/A</v>
      </c>
      <c r="F62" s="153" t="s">
        <v>98</v>
      </c>
      <c r="G62" s="153" t="s">
        <v>98</v>
      </c>
      <c r="H62" s="165" t="s">
        <v>98</v>
      </c>
      <c r="I62" s="468"/>
      <c r="J62" s="469"/>
      <c r="K62" s="470"/>
      <c r="L62" s="134"/>
    </row>
    <row r="63" spans="1:13" s="136" customFormat="1" ht="15.6">
      <c r="A63" s="149" t="s">
        <v>459</v>
      </c>
      <c r="B63" s="150">
        <v>1338.7</v>
      </c>
      <c r="C63" s="151">
        <f t="shared" si="21"/>
        <v>1338.7</v>
      </c>
      <c r="D63" s="152">
        <v>1200</v>
      </c>
      <c r="E63" s="154">
        <f t="shared" si="22"/>
        <v>8.3333333333333339E-4</v>
      </c>
      <c r="F63" s="153" t="s">
        <v>98</v>
      </c>
      <c r="G63" s="153" t="s">
        <v>98</v>
      </c>
      <c r="H63" s="165">
        <f t="shared" ref="H63:H69" si="23">E63*C63</f>
        <v>1.1155833333333334</v>
      </c>
      <c r="I63" s="468"/>
      <c r="J63" s="469"/>
      <c r="K63" s="470"/>
      <c r="L63" s="134"/>
    </row>
    <row r="64" spans="1:13" s="136" customFormat="1" ht="15.6">
      <c r="A64" s="149" t="s">
        <v>460</v>
      </c>
      <c r="B64" s="150">
        <v>0</v>
      </c>
      <c r="C64" s="151">
        <f t="shared" si="21"/>
        <v>0</v>
      </c>
      <c r="D64" s="154" t="s">
        <v>98</v>
      </c>
      <c r="E64" s="154" t="str">
        <f t="shared" si="22"/>
        <v>N/A</v>
      </c>
      <c r="F64" s="153" t="s">
        <v>98</v>
      </c>
      <c r="G64" s="153" t="s">
        <v>98</v>
      </c>
      <c r="H64" s="165" t="s">
        <v>98</v>
      </c>
      <c r="I64" s="468"/>
      <c r="J64" s="469"/>
      <c r="K64" s="470"/>
      <c r="L64" s="134"/>
    </row>
    <row r="65" spans="1:11" s="136" customFormat="1" ht="15.6">
      <c r="A65" s="149" t="s">
        <v>461</v>
      </c>
      <c r="B65" s="150">
        <v>0</v>
      </c>
      <c r="C65" s="151">
        <f t="shared" si="21"/>
        <v>0</v>
      </c>
      <c r="D65" s="154" t="s">
        <v>98</v>
      </c>
      <c r="E65" s="154" t="str">
        <f t="shared" si="22"/>
        <v>N/A</v>
      </c>
      <c r="F65" s="153" t="s">
        <v>98</v>
      </c>
      <c r="G65" s="153" t="s">
        <v>98</v>
      </c>
      <c r="H65" s="165" t="s">
        <v>98</v>
      </c>
      <c r="I65" s="468"/>
      <c r="J65" s="469"/>
      <c r="K65" s="470"/>
    </row>
    <row r="66" spans="1:11" ht="15.6">
      <c r="A66" s="149" t="s">
        <v>462</v>
      </c>
      <c r="B66" s="150">
        <v>0</v>
      </c>
      <c r="C66" s="151">
        <f t="shared" si="21"/>
        <v>0</v>
      </c>
      <c r="D66" s="154" t="s">
        <v>98</v>
      </c>
      <c r="E66" s="154" t="str">
        <f t="shared" si="22"/>
        <v>N/A</v>
      </c>
      <c r="F66" s="153" t="s">
        <v>98</v>
      </c>
      <c r="G66" s="153" t="s">
        <v>98</v>
      </c>
      <c r="H66" s="165" t="s">
        <v>98</v>
      </c>
      <c r="I66" s="468"/>
      <c r="J66" s="469"/>
      <c r="K66" s="470"/>
    </row>
    <row r="67" spans="1:11" ht="15.6">
      <c r="A67" s="149" t="s">
        <v>463</v>
      </c>
      <c r="B67" s="150">
        <v>0</v>
      </c>
      <c r="C67" s="151">
        <f t="shared" si="21"/>
        <v>0</v>
      </c>
      <c r="D67" s="154" t="s">
        <v>98</v>
      </c>
      <c r="E67" s="154" t="str">
        <f t="shared" si="22"/>
        <v>N/A</v>
      </c>
      <c r="F67" s="153" t="s">
        <v>98</v>
      </c>
      <c r="G67" s="153" t="s">
        <v>98</v>
      </c>
      <c r="H67" s="165" t="s">
        <v>98</v>
      </c>
      <c r="I67" s="468"/>
      <c r="J67" s="469"/>
      <c r="K67" s="470"/>
    </row>
    <row r="68" spans="1:11" ht="15.6">
      <c r="A68" s="149" t="s">
        <v>464</v>
      </c>
      <c r="B68" s="150">
        <v>346.79</v>
      </c>
      <c r="C68" s="151">
        <f t="shared" si="21"/>
        <v>346.79</v>
      </c>
      <c r="D68" s="152">
        <v>1500</v>
      </c>
      <c r="E68" s="154">
        <f t="shared" si="22"/>
        <v>6.6666666666666664E-4</v>
      </c>
      <c r="F68" s="153" t="s">
        <v>98</v>
      </c>
      <c r="G68" s="153" t="s">
        <v>98</v>
      </c>
      <c r="H68" s="165">
        <f t="shared" si="23"/>
        <v>0.23119333333333333</v>
      </c>
      <c r="I68" s="468"/>
      <c r="J68" s="469"/>
      <c r="K68" s="470"/>
    </row>
    <row r="69" spans="1:11" ht="15.6">
      <c r="A69" s="149" t="s">
        <v>465</v>
      </c>
      <c r="B69" s="150">
        <v>94.51</v>
      </c>
      <c r="C69" s="151">
        <f t="shared" si="21"/>
        <v>94.51</v>
      </c>
      <c r="D69" s="152">
        <v>300</v>
      </c>
      <c r="E69" s="154">
        <f t="shared" si="22"/>
        <v>3.3333333333333335E-3</v>
      </c>
      <c r="F69" s="153" t="s">
        <v>98</v>
      </c>
      <c r="G69" s="153" t="s">
        <v>98</v>
      </c>
      <c r="H69" s="165">
        <f t="shared" si="23"/>
        <v>0.31503333333333339</v>
      </c>
      <c r="I69" s="468"/>
      <c r="J69" s="469"/>
      <c r="K69" s="470"/>
    </row>
    <row r="70" spans="1:11" ht="15.6">
      <c r="A70" s="147" t="s">
        <v>466</v>
      </c>
      <c r="B70" s="140">
        <f>SUM(B71:B76)</f>
        <v>10000</v>
      </c>
      <c r="C70" s="140">
        <f t="shared" ref="C70" si="24">SUM(C71:C76)</f>
        <v>10000</v>
      </c>
      <c r="D70" s="141"/>
      <c r="E70" s="141"/>
      <c r="F70" s="142"/>
      <c r="G70" s="142"/>
      <c r="H70" s="144"/>
      <c r="I70" s="468">
        <f>SUM(H71:H76)</f>
        <v>1.3420559712773996</v>
      </c>
      <c r="J70" s="469"/>
      <c r="K70" s="470"/>
    </row>
    <row r="71" spans="1:11" ht="31.2">
      <c r="A71" s="149" t="s">
        <v>467</v>
      </c>
      <c r="B71" s="150">
        <v>940.5</v>
      </c>
      <c r="C71" s="151">
        <f t="shared" ref="C71:C76" si="25">SUM(B71:B71)</f>
        <v>940.5</v>
      </c>
      <c r="D71" s="152">
        <v>6300</v>
      </c>
      <c r="E71" s="154">
        <f t="shared" si="22"/>
        <v>1.5873015873015873E-4</v>
      </c>
      <c r="F71" s="153" t="s">
        <v>98</v>
      </c>
      <c r="G71" s="153" t="s">
        <v>98</v>
      </c>
      <c r="H71" s="164">
        <f>E71*C71</f>
        <v>0.1492857142857143</v>
      </c>
      <c r="I71" s="468"/>
      <c r="J71" s="469"/>
      <c r="K71" s="470"/>
    </row>
    <row r="72" spans="1:11" ht="15.6">
      <c r="A72" s="149" t="s">
        <v>468</v>
      </c>
      <c r="B72" s="150">
        <v>2561.5</v>
      </c>
      <c r="C72" s="151">
        <f t="shared" si="25"/>
        <v>2561.5</v>
      </c>
      <c r="D72" s="152">
        <v>15000</v>
      </c>
      <c r="E72" s="154">
        <f t="shared" si="22"/>
        <v>6.666666666666667E-5</v>
      </c>
      <c r="F72" s="153" t="s">
        <v>98</v>
      </c>
      <c r="G72" s="153" t="s">
        <v>98</v>
      </c>
      <c r="H72" s="164">
        <f t="shared" ref="H72:H75" si="26">E72*C72</f>
        <v>0.17076666666666668</v>
      </c>
      <c r="I72" s="468"/>
      <c r="J72" s="469"/>
      <c r="K72" s="470"/>
    </row>
    <row r="73" spans="1:11" ht="15.6">
      <c r="A73" s="149" t="s">
        <v>469</v>
      </c>
      <c r="B73" s="150">
        <v>2561.5</v>
      </c>
      <c r="C73" s="151">
        <f t="shared" si="25"/>
        <v>2561.5</v>
      </c>
      <c r="D73" s="152">
        <v>6000</v>
      </c>
      <c r="E73" s="154">
        <f t="shared" si="22"/>
        <v>1.6666666666666666E-4</v>
      </c>
      <c r="F73" s="153" t="s">
        <v>98</v>
      </c>
      <c r="G73" s="153" t="s">
        <v>98</v>
      </c>
      <c r="H73" s="164">
        <f t="shared" si="26"/>
        <v>0.42691666666666667</v>
      </c>
      <c r="I73" s="468"/>
      <c r="J73" s="469"/>
      <c r="K73" s="470"/>
    </row>
    <row r="74" spans="1:11" ht="15.6">
      <c r="A74" s="149" t="s">
        <v>470</v>
      </c>
      <c r="B74" s="150">
        <v>1872</v>
      </c>
      <c r="C74" s="151">
        <f t="shared" si="25"/>
        <v>1872</v>
      </c>
      <c r="D74" s="152">
        <v>6615</v>
      </c>
      <c r="E74" s="154">
        <f t="shared" si="22"/>
        <v>1.5117157974300831E-4</v>
      </c>
      <c r="F74" s="153" t="s">
        <v>98</v>
      </c>
      <c r="G74" s="153" t="s">
        <v>98</v>
      </c>
      <c r="H74" s="164">
        <f t="shared" si="26"/>
        <v>0.28299319727891153</v>
      </c>
      <c r="I74" s="468"/>
      <c r="J74" s="469"/>
      <c r="K74" s="470"/>
    </row>
    <row r="75" spans="1:11" ht="15.6">
      <c r="A75" s="149" t="s">
        <v>471</v>
      </c>
      <c r="B75" s="150">
        <v>2064.5</v>
      </c>
      <c r="C75" s="151">
        <f t="shared" si="25"/>
        <v>2064.5</v>
      </c>
      <c r="D75" s="152">
        <v>6615</v>
      </c>
      <c r="E75" s="154">
        <f t="shared" si="22"/>
        <v>1.5117157974300831E-4</v>
      </c>
      <c r="F75" s="153" t="s">
        <v>98</v>
      </c>
      <c r="G75" s="153" t="s">
        <v>98</v>
      </c>
      <c r="H75" s="164">
        <f t="shared" si="26"/>
        <v>0.31209372637944066</v>
      </c>
      <c r="I75" s="468"/>
      <c r="J75" s="469"/>
      <c r="K75" s="470"/>
    </row>
    <row r="76" spans="1:11" ht="31.2">
      <c r="A76" s="149" t="s">
        <v>472</v>
      </c>
      <c r="B76" s="150">
        <v>0</v>
      </c>
      <c r="C76" s="151">
        <f t="shared" si="25"/>
        <v>0</v>
      </c>
      <c r="D76" s="154" t="s">
        <v>98</v>
      </c>
      <c r="E76" s="154" t="str">
        <f t="shared" si="22"/>
        <v>N/A</v>
      </c>
      <c r="F76" s="153" t="s">
        <v>98</v>
      </c>
      <c r="G76" s="153" t="s">
        <v>98</v>
      </c>
      <c r="H76" s="164" t="s">
        <v>98</v>
      </c>
      <c r="I76" s="468"/>
      <c r="J76" s="469"/>
      <c r="K76" s="470"/>
    </row>
    <row r="77" spans="1:11" ht="15.6">
      <c r="A77" s="147" t="s">
        <v>439</v>
      </c>
      <c r="B77" s="140">
        <f>SUM(B78:B80)</f>
        <v>299</v>
      </c>
      <c r="C77" s="140">
        <f>SUM(C78:C80)</f>
        <v>299</v>
      </c>
      <c r="D77" s="141"/>
      <c r="E77" s="141"/>
      <c r="F77" s="142"/>
      <c r="G77" s="142"/>
      <c r="H77" s="144"/>
      <c r="I77" s="468">
        <f>SUM(H78:H80)</f>
        <v>5.4526370315844004E-4</v>
      </c>
      <c r="J77" s="469"/>
      <c r="K77" s="470"/>
    </row>
    <row r="78" spans="1:11" ht="15.6">
      <c r="A78" s="149" t="s">
        <v>440</v>
      </c>
      <c r="B78" s="150">
        <v>0</v>
      </c>
      <c r="C78" s="151">
        <f>SUM(B78:B78)</f>
        <v>0</v>
      </c>
      <c r="D78" s="154" t="s">
        <v>98</v>
      </c>
      <c r="E78" s="154" t="str">
        <f t="shared" si="22"/>
        <v>N/A</v>
      </c>
      <c r="F78" s="153" t="s">
        <v>98</v>
      </c>
      <c r="G78" s="154" t="s">
        <v>98</v>
      </c>
      <c r="H78" s="154" t="s">
        <v>98</v>
      </c>
      <c r="I78" s="468"/>
      <c r="J78" s="469"/>
      <c r="K78" s="470"/>
    </row>
    <row r="79" spans="1:11" ht="15.6">
      <c r="A79" s="149" t="s">
        <v>473</v>
      </c>
      <c r="B79" s="150">
        <v>149.5</v>
      </c>
      <c r="C79" s="151">
        <f>SUM(B79:B79)</f>
        <v>149.5</v>
      </c>
      <c r="D79" s="152">
        <v>342</v>
      </c>
      <c r="E79" s="154">
        <f t="shared" si="22"/>
        <v>2.9239766081871343E-3</v>
      </c>
      <c r="F79" s="153">
        <v>16</v>
      </c>
      <c r="G79" s="154">
        <f t="shared" ref="G79:G80" si="27">1/(ROUNDUP(30/7,2)*40)</f>
        <v>5.8275058275058279E-3</v>
      </c>
      <c r="H79" s="154">
        <f>G79*F79*E79</f>
        <v>2.7263185157922002E-4</v>
      </c>
      <c r="I79" s="468"/>
      <c r="J79" s="469"/>
      <c r="K79" s="470"/>
    </row>
    <row r="80" spans="1:11" ht="15.6">
      <c r="A80" s="149" t="s">
        <v>474</v>
      </c>
      <c r="B80" s="150">
        <v>149.5</v>
      </c>
      <c r="C80" s="151">
        <f>SUM(B80:B80)</f>
        <v>149.5</v>
      </c>
      <c r="D80" s="152">
        <v>342</v>
      </c>
      <c r="E80" s="154">
        <f t="shared" si="22"/>
        <v>2.9239766081871343E-3</v>
      </c>
      <c r="F80" s="153">
        <v>16</v>
      </c>
      <c r="G80" s="154">
        <f t="shared" si="27"/>
        <v>5.8275058275058279E-3</v>
      </c>
      <c r="H80" s="154">
        <f>G80*F80*E80</f>
        <v>2.7263185157922002E-4</v>
      </c>
      <c r="I80" s="468"/>
      <c r="J80" s="469"/>
      <c r="K80" s="470"/>
    </row>
    <row r="81" spans="1:11" ht="15.6">
      <c r="A81" s="155" t="s">
        <v>441</v>
      </c>
      <c r="B81" s="140">
        <f t="shared" ref="B81:C81" si="28">B82</f>
        <v>0</v>
      </c>
      <c r="C81" s="140">
        <f t="shared" si="28"/>
        <v>0</v>
      </c>
      <c r="D81" s="141"/>
      <c r="E81" s="141"/>
      <c r="F81" s="142"/>
      <c r="G81" s="142"/>
      <c r="H81" s="144"/>
      <c r="I81" s="468" t="str">
        <f>H82</f>
        <v>N/A</v>
      </c>
      <c r="J81" s="469"/>
      <c r="K81" s="470"/>
    </row>
    <row r="82" spans="1:11" ht="15.6">
      <c r="A82" s="156" t="s">
        <v>442</v>
      </c>
      <c r="B82" s="150">
        <v>0</v>
      </c>
      <c r="C82" s="151">
        <f>SUM(B82:B82)</f>
        <v>0</v>
      </c>
      <c r="D82" s="152" t="s">
        <v>98</v>
      </c>
      <c r="E82" s="154" t="str">
        <f t="shared" si="22"/>
        <v>N/A</v>
      </c>
      <c r="F82" s="153" t="s">
        <v>98</v>
      </c>
      <c r="G82" s="153" t="s">
        <v>98</v>
      </c>
      <c r="H82" s="154" t="s">
        <v>98</v>
      </c>
      <c r="I82" s="468"/>
      <c r="J82" s="469"/>
      <c r="K82" s="470"/>
    </row>
    <row r="83" spans="1:11" ht="15.6">
      <c r="A83" s="157" t="s">
        <v>475</v>
      </c>
      <c r="B83" s="140">
        <f>SUM(B62:B69)+SUM(B71:B76)+SUM(B78:B80)+SUM(B82)</f>
        <v>12079</v>
      </c>
      <c r="C83" s="140">
        <f>C61+C70+C77+C81</f>
        <v>12079</v>
      </c>
      <c r="D83" s="152"/>
      <c r="E83" s="152"/>
      <c r="F83" s="153"/>
      <c r="G83" s="153"/>
      <c r="H83" s="150"/>
      <c r="I83" s="145"/>
      <c r="J83" s="145"/>
      <c r="K83" s="148"/>
    </row>
    <row r="84" spans="1:11" ht="21" customHeight="1"/>
    <row r="85" spans="1:11" ht="15.6">
      <c r="A85" s="472" t="s">
        <v>540</v>
      </c>
      <c r="B85" s="466" t="s">
        <v>444</v>
      </c>
      <c r="C85" s="467"/>
      <c r="D85" s="466" t="s">
        <v>480</v>
      </c>
      <c r="E85" s="471"/>
      <c r="F85" s="471"/>
      <c r="G85" s="471"/>
      <c r="H85" s="471"/>
      <c r="I85" s="471"/>
      <c r="J85" s="471"/>
      <c r="K85" s="467"/>
    </row>
    <row r="86" spans="1:11" ht="46.8">
      <c r="A86" s="473"/>
      <c r="B86" s="179" t="s">
        <v>483</v>
      </c>
      <c r="C86" s="142" t="s">
        <v>448</v>
      </c>
      <c r="D86" s="141" t="s">
        <v>482</v>
      </c>
      <c r="E86" s="141" t="s">
        <v>450</v>
      </c>
      <c r="F86" s="143" t="s">
        <v>451</v>
      </c>
      <c r="G86" s="143" t="s">
        <v>452</v>
      </c>
      <c r="H86" s="146" t="s">
        <v>453</v>
      </c>
      <c r="I86" s="146" t="s">
        <v>454</v>
      </c>
      <c r="J86" s="146" t="s">
        <v>455</v>
      </c>
      <c r="K86" s="146" t="s">
        <v>478</v>
      </c>
    </row>
    <row r="87" spans="1:11" ht="15.6">
      <c r="A87" s="147" t="s">
        <v>457</v>
      </c>
      <c r="B87" s="140">
        <f>SUM(B88:B95)</f>
        <v>2104.29</v>
      </c>
      <c r="C87" s="140">
        <f>SUM(C88:C95)</f>
        <v>2104.29</v>
      </c>
      <c r="D87" s="141"/>
      <c r="E87" s="141"/>
      <c r="F87" s="142"/>
      <c r="G87" s="142"/>
      <c r="H87" s="146"/>
      <c r="I87" s="468">
        <f>SUM(H88:H95)</f>
        <v>3.573601565082142</v>
      </c>
      <c r="J87" s="469">
        <f>SUM(I87:I108)</f>
        <v>5.999202541081452</v>
      </c>
      <c r="K87" s="470">
        <f>ROUND(J87,0)</f>
        <v>6</v>
      </c>
    </row>
    <row r="88" spans="1:11" ht="15.6">
      <c r="A88" s="149" t="s">
        <v>458</v>
      </c>
      <c r="B88" s="150">
        <v>0</v>
      </c>
      <c r="C88" s="151">
        <f t="shared" ref="C88:C95" si="29">SUM(B88:B88)</f>
        <v>0</v>
      </c>
      <c r="D88" s="152" t="s">
        <v>98</v>
      </c>
      <c r="E88" s="154" t="str">
        <f t="shared" ref="E88:E108" si="30">IF(C88=0,"N/A",1/D88)</f>
        <v>N/A</v>
      </c>
      <c r="F88" s="153" t="s">
        <v>98</v>
      </c>
      <c r="G88" s="153" t="s">
        <v>98</v>
      </c>
      <c r="H88" s="152" t="s">
        <v>98</v>
      </c>
      <c r="I88" s="468"/>
      <c r="J88" s="469"/>
      <c r="K88" s="470"/>
    </row>
    <row r="89" spans="1:11" ht="15.6">
      <c r="A89" s="149" t="s">
        <v>459</v>
      </c>
      <c r="B89" s="150">
        <v>1847.88</v>
      </c>
      <c r="C89" s="151">
        <f t="shared" si="29"/>
        <v>1847.88</v>
      </c>
      <c r="D89" s="152">
        <v>635</v>
      </c>
      <c r="E89" s="154">
        <f t="shared" si="30"/>
        <v>1.5748031496062992E-3</v>
      </c>
      <c r="F89" s="153" t="s">
        <v>98</v>
      </c>
      <c r="G89" s="153" t="s">
        <v>98</v>
      </c>
      <c r="H89" s="165">
        <f t="shared" ref="H89:H95" si="31">E89*C89</f>
        <v>2.9100472440944882</v>
      </c>
      <c r="I89" s="468"/>
      <c r="J89" s="469"/>
      <c r="K89" s="470"/>
    </row>
    <row r="90" spans="1:11" ht="15.6">
      <c r="A90" s="149" t="s">
        <v>460</v>
      </c>
      <c r="B90" s="150">
        <v>41.39</v>
      </c>
      <c r="C90" s="151">
        <f t="shared" si="29"/>
        <v>41.39</v>
      </c>
      <c r="D90" s="152">
        <v>324</v>
      </c>
      <c r="E90" s="154">
        <f t="shared" si="30"/>
        <v>3.0864197530864196E-3</v>
      </c>
      <c r="F90" s="153" t="s">
        <v>98</v>
      </c>
      <c r="G90" s="153" t="s">
        <v>98</v>
      </c>
      <c r="H90" s="165">
        <f t="shared" si="31"/>
        <v>0.1277469135802469</v>
      </c>
      <c r="I90" s="468"/>
      <c r="J90" s="469"/>
      <c r="K90" s="470"/>
    </row>
    <row r="91" spans="1:11" ht="15.6">
      <c r="A91" s="149" t="s">
        <v>461</v>
      </c>
      <c r="B91" s="150">
        <v>37.78</v>
      </c>
      <c r="C91" s="151">
        <f t="shared" si="29"/>
        <v>37.78</v>
      </c>
      <c r="D91" s="152">
        <v>1350</v>
      </c>
      <c r="E91" s="154">
        <f t="shared" si="30"/>
        <v>7.407407407407407E-4</v>
      </c>
      <c r="F91" s="153" t="s">
        <v>98</v>
      </c>
      <c r="G91" s="153" t="s">
        <v>98</v>
      </c>
      <c r="H91" s="165">
        <f t="shared" si="31"/>
        <v>2.7985185185185186E-2</v>
      </c>
      <c r="I91" s="468"/>
      <c r="J91" s="469"/>
      <c r="K91" s="470"/>
    </row>
    <row r="92" spans="1:11" ht="15.6">
      <c r="A92" s="149" t="s">
        <v>462</v>
      </c>
      <c r="B92" s="150">
        <v>0</v>
      </c>
      <c r="C92" s="151">
        <f t="shared" si="29"/>
        <v>0</v>
      </c>
      <c r="D92" s="154" t="s">
        <v>98</v>
      </c>
      <c r="E92" s="154" t="str">
        <f t="shared" si="30"/>
        <v>N/A</v>
      </c>
      <c r="F92" s="153" t="s">
        <v>98</v>
      </c>
      <c r="G92" s="153" t="s">
        <v>98</v>
      </c>
      <c r="H92" s="152" t="s">
        <v>98</v>
      </c>
      <c r="I92" s="468"/>
      <c r="J92" s="469"/>
      <c r="K92" s="470"/>
    </row>
    <row r="93" spans="1:11" ht="15.6">
      <c r="A93" s="149" t="s">
        <v>463</v>
      </c>
      <c r="B93" s="150">
        <v>0</v>
      </c>
      <c r="C93" s="151">
        <f t="shared" si="29"/>
        <v>0</v>
      </c>
      <c r="D93" s="154" t="s">
        <v>98</v>
      </c>
      <c r="E93" s="154" t="str">
        <f t="shared" si="30"/>
        <v>N/A</v>
      </c>
      <c r="F93" s="153" t="s">
        <v>98</v>
      </c>
      <c r="G93" s="153" t="s">
        <v>98</v>
      </c>
      <c r="H93" s="152" t="s">
        <v>98</v>
      </c>
      <c r="I93" s="468"/>
      <c r="J93" s="469"/>
      <c r="K93" s="470"/>
    </row>
    <row r="94" spans="1:11" ht="15.6">
      <c r="A94" s="149" t="s">
        <v>464</v>
      </c>
      <c r="B94" s="150">
        <v>107.29</v>
      </c>
      <c r="C94" s="151">
        <f t="shared" si="29"/>
        <v>107.29</v>
      </c>
      <c r="D94" s="152">
        <v>900</v>
      </c>
      <c r="E94" s="154">
        <f t="shared" si="30"/>
        <v>1.1111111111111111E-3</v>
      </c>
      <c r="F94" s="153" t="s">
        <v>98</v>
      </c>
      <c r="G94" s="153" t="s">
        <v>98</v>
      </c>
      <c r="H94" s="165">
        <f t="shared" si="31"/>
        <v>0.11921111111111111</v>
      </c>
      <c r="I94" s="468"/>
      <c r="J94" s="469"/>
      <c r="K94" s="470"/>
    </row>
    <row r="95" spans="1:11" ht="15.6">
      <c r="A95" s="149" t="s">
        <v>465</v>
      </c>
      <c r="B95" s="150">
        <v>69.95</v>
      </c>
      <c r="C95" s="151">
        <f t="shared" si="29"/>
        <v>69.95</v>
      </c>
      <c r="D95" s="152">
        <v>180</v>
      </c>
      <c r="E95" s="154">
        <f t="shared" si="30"/>
        <v>5.5555555555555558E-3</v>
      </c>
      <c r="F95" s="153" t="s">
        <v>98</v>
      </c>
      <c r="G95" s="153" t="s">
        <v>98</v>
      </c>
      <c r="H95" s="165">
        <f t="shared" si="31"/>
        <v>0.38861111111111113</v>
      </c>
      <c r="I95" s="468"/>
      <c r="J95" s="469"/>
      <c r="K95" s="470"/>
    </row>
    <row r="96" spans="1:11" ht="15.6">
      <c r="A96" s="147" t="s">
        <v>466</v>
      </c>
      <c r="B96" s="140">
        <f>SUM(B97:B102)</f>
        <v>6555.0499999999993</v>
      </c>
      <c r="C96" s="140">
        <f>SUM(C97:C102)</f>
        <v>6555.0499999999993</v>
      </c>
      <c r="D96" s="141"/>
      <c r="E96" s="141"/>
      <c r="F96" s="142"/>
      <c r="G96" s="142"/>
      <c r="H96" s="144"/>
      <c r="I96" s="468">
        <f>SUM(H97:H102)</f>
        <v>2.4249103086419752</v>
      </c>
      <c r="J96" s="469"/>
      <c r="K96" s="470"/>
    </row>
    <row r="97" spans="1:11" ht="31.2">
      <c r="A97" s="149" t="s">
        <v>467</v>
      </c>
      <c r="B97" s="150">
        <v>363.35</v>
      </c>
      <c r="C97" s="151">
        <f t="shared" ref="C97:C101" si="32">SUM(B97:B97)</f>
        <v>363.35</v>
      </c>
      <c r="D97" s="152">
        <v>1620</v>
      </c>
      <c r="E97" s="154">
        <f t="shared" si="30"/>
        <v>6.1728395061728394E-4</v>
      </c>
      <c r="F97" s="153" t="s">
        <v>98</v>
      </c>
      <c r="G97" s="153" t="s">
        <v>98</v>
      </c>
      <c r="H97" s="164">
        <f>E97*C97</f>
        <v>0.22429012345679014</v>
      </c>
      <c r="I97" s="468"/>
      <c r="J97" s="469"/>
      <c r="K97" s="470"/>
    </row>
    <row r="98" spans="1:11" ht="15.6">
      <c r="A98" s="149" t="s">
        <v>468</v>
      </c>
      <c r="B98" s="150">
        <v>1561.65</v>
      </c>
      <c r="C98" s="151">
        <f t="shared" si="32"/>
        <v>1561.65</v>
      </c>
      <c r="D98" s="152">
        <v>5400</v>
      </c>
      <c r="E98" s="154">
        <f t="shared" si="30"/>
        <v>1.8518518518518518E-4</v>
      </c>
      <c r="F98" s="153" t="s">
        <v>98</v>
      </c>
      <c r="G98" s="153" t="s">
        <v>98</v>
      </c>
      <c r="H98" s="164">
        <f t="shared" ref="H98:H102" si="33">E98*C98</f>
        <v>0.28919444444444442</v>
      </c>
      <c r="I98" s="468"/>
      <c r="J98" s="469"/>
      <c r="K98" s="470"/>
    </row>
    <row r="99" spans="1:11" ht="15.6">
      <c r="A99" s="149" t="s">
        <v>469</v>
      </c>
      <c r="B99" s="150">
        <v>582.41999999999996</v>
      </c>
      <c r="C99" s="151">
        <f t="shared" si="32"/>
        <v>582.41999999999996</v>
      </c>
      <c r="D99" s="152">
        <v>1620</v>
      </c>
      <c r="E99" s="154">
        <f t="shared" si="30"/>
        <v>6.1728395061728394E-4</v>
      </c>
      <c r="F99" s="153" t="s">
        <v>98</v>
      </c>
      <c r="G99" s="153" t="s">
        <v>98</v>
      </c>
      <c r="H99" s="164">
        <f t="shared" si="33"/>
        <v>0.35951851851851846</v>
      </c>
      <c r="I99" s="468"/>
      <c r="J99" s="469"/>
      <c r="K99" s="470"/>
    </row>
    <row r="100" spans="1:11" ht="15.6">
      <c r="A100" s="149" t="s">
        <v>470</v>
      </c>
      <c r="B100" s="150">
        <v>184.36</v>
      </c>
      <c r="C100" s="151">
        <f t="shared" si="32"/>
        <v>184.36</v>
      </c>
      <c r="D100" s="152">
        <v>1620</v>
      </c>
      <c r="E100" s="154">
        <f t="shared" si="30"/>
        <v>6.1728395061728394E-4</v>
      </c>
      <c r="F100" s="153" t="s">
        <v>98</v>
      </c>
      <c r="G100" s="153" t="s">
        <v>98</v>
      </c>
      <c r="H100" s="164">
        <f t="shared" si="33"/>
        <v>0.11380246913580247</v>
      </c>
      <c r="I100" s="468"/>
      <c r="J100" s="469"/>
      <c r="K100" s="470"/>
    </row>
    <row r="101" spans="1:11" ht="15.6">
      <c r="A101" s="149" t="s">
        <v>471</v>
      </c>
      <c r="B101" s="150">
        <v>2301.62</v>
      </c>
      <c r="C101" s="151">
        <f t="shared" si="32"/>
        <v>2301.62</v>
      </c>
      <c r="D101" s="152">
        <v>1620</v>
      </c>
      <c r="E101" s="154">
        <f t="shared" si="30"/>
        <v>6.1728395061728394E-4</v>
      </c>
      <c r="F101" s="153" t="s">
        <v>98</v>
      </c>
      <c r="G101" s="153" t="s">
        <v>98</v>
      </c>
      <c r="H101" s="164">
        <f t="shared" si="33"/>
        <v>1.4207530864197531</v>
      </c>
      <c r="I101" s="468"/>
      <c r="J101" s="469"/>
      <c r="K101" s="470"/>
    </row>
    <row r="102" spans="1:11" ht="31.2">
      <c r="A102" s="149" t="s">
        <v>472</v>
      </c>
      <c r="B102" s="150">
        <v>1561.65</v>
      </c>
      <c r="C102" s="151">
        <f>SUM(B102:B102)</f>
        <v>1561.65</v>
      </c>
      <c r="D102" s="152">
        <v>90000</v>
      </c>
      <c r="E102" s="154">
        <f t="shared" si="30"/>
        <v>1.1111111111111112E-5</v>
      </c>
      <c r="F102" s="153" t="s">
        <v>98</v>
      </c>
      <c r="G102" s="153" t="s">
        <v>98</v>
      </c>
      <c r="H102" s="164">
        <f t="shared" si="33"/>
        <v>1.7351666666666668E-2</v>
      </c>
      <c r="I102" s="468"/>
      <c r="J102" s="469"/>
      <c r="K102" s="470"/>
    </row>
    <row r="103" spans="1:11" ht="15.6">
      <c r="A103" s="147" t="s">
        <v>439</v>
      </c>
      <c r="B103" s="140">
        <f>SUM(B104:B106)</f>
        <v>872.46</v>
      </c>
      <c r="C103" s="140">
        <f>SUM(C104:C106)</f>
        <v>872.46</v>
      </c>
      <c r="D103" s="141"/>
      <c r="E103" s="141"/>
      <c r="F103" s="142"/>
      <c r="G103" s="142"/>
      <c r="H103" s="144"/>
      <c r="I103" s="468">
        <f>SUM(H104:H106)</f>
        <v>6.9066735733402408E-4</v>
      </c>
      <c r="J103" s="469"/>
      <c r="K103" s="470"/>
    </row>
    <row r="104" spans="1:11" ht="15.6">
      <c r="A104" s="149" t="s">
        <v>440</v>
      </c>
      <c r="B104" s="150">
        <v>0</v>
      </c>
      <c r="C104" s="151">
        <f>SUM(B104:B104)</f>
        <v>0</v>
      </c>
      <c r="D104" s="152" t="s">
        <v>98</v>
      </c>
      <c r="E104" s="154" t="str">
        <f t="shared" si="30"/>
        <v>N/A</v>
      </c>
      <c r="F104" s="153" t="s">
        <v>98</v>
      </c>
      <c r="G104" s="154" t="s">
        <v>98</v>
      </c>
      <c r="H104" s="152" t="s">
        <v>98</v>
      </c>
      <c r="I104" s="468"/>
      <c r="J104" s="469"/>
      <c r="K104" s="470"/>
    </row>
    <row r="105" spans="1:11" ht="15.6">
      <c r="A105" s="149" t="s">
        <v>473</v>
      </c>
      <c r="B105" s="150">
        <v>436.23</v>
      </c>
      <c r="C105" s="151">
        <f>SUM(B105:B105)</f>
        <v>436.23</v>
      </c>
      <c r="D105" s="152">
        <v>270</v>
      </c>
      <c r="E105" s="154">
        <f t="shared" si="30"/>
        <v>3.7037037037037038E-3</v>
      </c>
      <c r="F105" s="153">
        <v>16</v>
      </c>
      <c r="G105" s="154">
        <f>1/(ROUNDUP(30/7,2)*40)</f>
        <v>5.8275058275058279E-3</v>
      </c>
      <c r="H105" s="154">
        <f>G105*F105*E105</f>
        <v>3.4533367866701204E-4</v>
      </c>
      <c r="I105" s="468"/>
      <c r="J105" s="469"/>
      <c r="K105" s="470"/>
    </row>
    <row r="106" spans="1:11" ht="15.6">
      <c r="A106" s="149" t="s">
        <v>474</v>
      </c>
      <c r="B106" s="150">
        <v>436.23</v>
      </c>
      <c r="C106" s="151">
        <f>SUM(B106:B106)</f>
        <v>436.23</v>
      </c>
      <c r="D106" s="152">
        <v>270</v>
      </c>
      <c r="E106" s="154">
        <f t="shared" si="30"/>
        <v>3.7037037037037038E-3</v>
      </c>
      <c r="F106" s="153">
        <v>16</v>
      </c>
      <c r="G106" s="154">
        <f t="shared" ref="G106" si="34">1/(ROUNDUP(30/7,2)*40)</f>
        <v>5.8275058275058279E-3</v>
      </c>
      <c r="H106" s="154">
        <f>G106*F106*E106</f>
        <v>3.4533367866701204E-4</v>
      </c>
      <c r="I106" s="468"/>
      <c r="J106" s="469"/>
      <c r="K106" s="470"/>
    </row>
    <row r="107" spans="1:11" ht="15.6">
      <c r="A107" s="155" t="s">
        <v>441</v>
      </c>
      <c r="B107" s="140">
        <f>B108</f>
        <v>0</v>
      </c>
      <c r="C107" s="140">
        <f>C108</f>
        <v>0</v>
      </c>
      <c r="D107" s="141"/>
      <c r="E107" s="141"/>
      <c r="F107" s="142"/>
      <c r="G107" s="142"/>
      <c r="H107" s="144"/>
      <c r="I107" s="468" t="str">
        <f>H108</f>
        <v>N/A</v>
      </c>
      <c r="J107" s="469"/>
      <c r="K107" s="470"/>
    </row>
    <row r="108" spans="1:11" ht="15.6">
      <c r="A108" s="156" t="s">
        <v>442</v>
      </c>
      <c r="B108" s="150">
        <v>0</v>
      </c>
      <c r="C108" s="151">
        <f>SUM(B108:B108)</f>
        <v>0</v>
      </c>
      <c r="D108" s="152" t="s">
        <v>98</v>
      </c>
      <c r="E108" s="154" t="str">
        <f t="shared" si="30"/>
        <v>N/A</v>
      </c>
      <c r="F108" s="153" t="s">
        <v>98</v>
      </c>
      <c r="G108" s="153" t="s">
        <v>98</v>
      </c>
      <c r="H108" s="152" t="s">
        <v>98</v>
      </c>
      <c r="I108" s="468"/>
      <c r="J108" s="469"/>
      <c r="K108" s="470"/>
    </row>
    <row r="109" spans="1:11" ht="15.6">
      <c r="A109" s="157" t="s">
        <v>475</v>
      </c>
      <c r="B109" s="140">
        <f>SUM(B88:B95)+SUM(B97:B102)+SUM(B104:B106)+SUM(B108)</f>
        <v>9531.7999999999993</v>
      </c>
      <c r="C109" s="140">
        <f>C87+C96+C103+C107</f>
        <v>9531.7999999999993</v>
      </c>
      <c r="D109" s="152"/>
      <c r="E109" s="152"/>
      <c r="F109" s="153"/>
      <c r="G109" s="153"/>
      <c r="H109" s="150"/>
      <c r="I109" s="145"/>
      <c r="J109" s="145"/>
      <c r="K109" s="148"/>
    </row>
    <row r="110" spans="1:11" ht="21.75" customHeight="1"/>
    <row r="111" spans="1:11" ht="15.6">
      <c r="A111" s="472" t="s">
        <v>541</v>
      </c>
      <c r="B111" s="466" t="s">
        <v>444</v>
      </c>
      <c r="C111" s="467"/>
      <c r="D111" s="466" t="s">
        <v>480</v>
      </c>
      <c r="E111" s="471"/>
      <c r="F111" s="471"/>
      <c r="G111" s="471"/>
      <c r="H111" s="471"/>
      <c r="I111" s="471"/>
      <c r="J111" s="471"/>
      <c r="K111" s="467"/>
    </row>
    <row r="112" spans="1:11" ht="46.8">
      <c r="A112" s="473"/>
      <c r="B112" s="179" t="s">
        <v>484</v>
      </c>
      <c r="C112" s="142" t="s">
        <v>448</v>
      </c>
      <c r="D112" s="141" t="s">
        <v>482</v>
      </c>
      <c r="E112" s="141" t="s">
        <v>450</v>
      </c>
      <c r="F112" s="143" t="s">
        <v>451</v>
      </c>
      <c r="G112" s="143" t="s">
        <v>452</v>
      </c>
      <c r="H112" s="146" t="s">
        <v>453</v>
      </c>
      <c r="I112" s="146" t="s">
        <v>454</v>
      </c>
      <c r="J112" s="146" t="s">
        <v>455</v>
      </c>
      <c r="K112" s="146" t="s">
        <v>478</v>
      </c>
    </row>
    <row r="113" spans="1:11" ht="15.6">
      <c r="A113" s="147" t="s">
        <v>457</v>
      </c>
      <c r="B113" s="140">
        <f>SUM(B114:B121)</f>
        <v>786</v>
      </c>
      <c r="C113" s="140">
        <f>SUM(C114:C121)</f>
        <v>786</v>
      </c>
      <c r="D113" s="141"/>
      <c r="E113" s="141"/>
      <c r="F113" s="142"/>
      <c r="G113" s="142"/>
      <c r="H113" s="146"/>
      <c r="I113" s="468">
        <f>SUM(H114:H121)</f>
        <v>0.63594907407407408</v>
      </c>
      <c r="J113" s="469">
        <f>SUM(I113:I134)</f>
        <v>1.0020252019747633</v>
      </c>
      <c r="K113" s="470">
        <f>ROUND(J113,0)</f>
        <v>1</v>
      </c>
    </row>
    <row r="114" spans="1:11" ht="15.6">
      <c r="A114" s="149" t="s">
        <v>458</v>
      </c>
      <c r="B114" s="150">
        <v>0</v>
      </c>
      <c r="C114" s="151">
        <f t="shared" ref="C114:C121" si="35">SUM(B114:B114)</f>
        <v>0</v>
      </c>
      <c r="D114" s="152" t="s">
        <v>98</v>
      </c>
      <c r="E114" s="154" t="str">
        <f t="shared" ref="E114:E134" si="36">IF(C114=0,"N/A",1/D114)</f>
        <v>N/A</v>
      </c>
      <c r="F114" s="153" t="s">
        <v>98</v>
      </c>
      <c r="G114" s="153" t="s">
        <v>98</v>
      </c>
      <c r="H114" s="152" t="s">
        <v>98</v>
      </c>
      <c r="I114" s="468"/>
      <c r="J114" s="469"/>
      <c r="K114" s="470"/>
    </row>
    <row r="115" spans="1:11" ht="15.6">
      <c r="A115" s="149" t="s">
        <v>459</v>
      </c>
      <c r="B115" s="150">
        <v>739</v>
      </c>
      <c r="C115" s="151">
        <f t="shared" si="35"/>
        <v>739</v>
      </c>
      <c r="D115" s="152">
        <v>1600</v>
      </c>
      <c r="E115" s="154">
        <f t="shared" si="36"/>
        <v>6.2500000000000001E-4</v>
      </c>
      <c r="F115" s="153" t="s">
        <v>98</v>
      </c>
      <c r="G115" s="153" t="s">
        <v>98</v>
      </c>
      <c r="H115" s="165">
        <f t="shared" ref="H115" si="37">E115*C115</f>
        <v>0.46187500000000004</v>
      </c>
      <c r="I115" s="468"/>
      <c r="J115" s="469"/>
      <c r="K115" s="470"/>
    </row>
    <row r="116" spans="1:11" ht="15.6">
      <c r="A116" s="149" t="s">
        <v>460</v>
      </c>
      <c r="B116" s="150">
        <v>0</v>
      </c>
      <c r="C116" s="151">
        <f t="shared" si="35"/>
        <v>0</v>
      </c>
      <c r="D116" s="152" t="s">
        <v>98</v>
      </c>
      <c r="E116" s="154" t="str">
        <f t="shared" si="36"/>
        <v>N/A</v>
      </c>
      <c r="F116" s="153" t="s">
        <v>98</v>
      </c>
      <c r="G116" s="153" t="s">
        <v>98</v>
      </c>
      <c r="H116" s="152" t="s">
        <v>98</v>
      </c>
      <c r="I116" s="468"/>
      <c r="J116" s="469"/>
      <c r="K116" s="470"/>
    </row>
    <row r="117" spans="1:11" ht="15.6">
      <c r="A117" s="149" t="s">
        <v>461</v>
      </c>
      <c r="B117" s="150">
        <v>0</v>
      </c>
      <c r="C117" s="151">
        <f t="shared" si="35"/>
        <v>0</v>
      </c>
      <c r="D117" s="152" t="s">
        <v>98</v>
      </c>
      <c r="E117" s="154" t="str">
        <f t="shared" si="36"/>
        <v>N/A</v>
      </c>
      <c r="F117" s="153" t="s">
        <v>98</v>
      </c>
      <c r="G117" s="153" t="s">
        <v>98</v>
      </c>
      <c r="H117" s="152" t="s">
        <v>98</v>
      </c>
      <c r="I117" s="468"/>
      <c r="J117" s="469"/>
      <c r="K117" s="470"/>
    </row>
    <row r="118" spans="1:11" ht="15.6">
      <c r="A118" s="149" t="s">
        <v>462</v>
      </c>
      <c r="B118" s="150">
        <v>0</v>
      </c>
      <c r="C118" s="151">
        <f t="shared" si="35"/>
        <v>0</v>
      </c>
      <c r="D118" s="152" t="s">
        <v>98</v>
      </c>
      <c r="E118" s="154" t="str">
        <f t="shared" si="36"/>
        <v>N/A</v>
      </c>
      <c r="F118" s="153" t="s">
        <v>98</v>
      </c>
      <c r="G118" s="153" t="s">
        <v>98</v>
      </c>
      <c r="H118" s="152" t="s">
        <v>98</v>
      </c>
      <c r="I118" s="468"/>
      <c r="J118" s="469"/>
      <c r="K118" s="470"/>
    </row>
    <row r="119" spans="1:11" ht="15.6">
      <c r="A119" s="149" t="s">
        <v>463</v>
      </c>
      <c r="B119" s="150">
        <v>0</v>
      </c>
      <c r="C119" s="151">
        <f t="shared" si="35"/>
        <v>0</v>
      </c>
      <c r="D119" s="152" t="s">
        <v>98</v>
      </c>
      <c r="E119" s="154" t="str">
        <f t="shared" si="36"/>
        <v>N/A</v>
      </c>
      <c r="F119" s="153" t="s">
        <v>98</v>
      </c>
      <c r="G119" s="153" t="s">
        <v>98</v>
      </c>
      <c r="H119" s="165" t="s">
        <v>98</v>
      </c>
      <c r="I119" s="468"/>
      <c r="J119" s="469"/>
      <c r="K119" s="470"/>
    </row>
    <row r="120" spans="1:11" ht="15.6">
      <c r="A120" s="149" t="s">
        <v>464</v>
      </c>
      <c r="B120" s="150">
        <v>0</v>
      </c>
      <c r="C120" s="151">
        <f t="shared" si="35"/>
        <v>0</v>
      </c>
      <c r="D120" s="152" t="s">
        <v>98</v>
      </c>
      <c r="E120" s="154" t="str">
        <f t="shared" si="36"/>
        <v>N/A</v>
      </c>
      <c r="F120" s="153" t="s">
        <v>98</v>
      </c>
      <c r="G120" s="153" t="s">
        <v>98</v>
      </c>
      <c r="H120" s="152" t="s">
        <v>98</v>
      </c>
      <c r="I120" s="468"/>
      <c r="J120" s="469"/>
      <c r="K120" s="470"/>
    </row>
    <row r="121" spans="1:11" ht="15.6">
      <c r="A121" s="149" t="s">
        <v>465</v>
      </c>
      <c r="B121" s="150">
        <v>47</v>
      </c>
      <c r="C121" s="151">
        <f t="shared" si="35"/>
        <v>47</v>
      </c>
      <c r="D121" s="152">
        <v>270</v>
      </c>
      <c r="E121" s="154">
        <f t="shared" si="36"/>
        <v>3.7037037037037038E-3</v>
      </c>
      <c r="F121" s="153" t="s">
        <v>98</v>
      </c>
      <c r="G121" s="153" t="s">
        <v>98</v>
      </c>
      <c r="H121" s="165">
        <f t="shared" ref="H121" si="38">E121*C121</f>
        <v>0.17407407407407408</v>
      </c>
      <c r="I121" s="468"/>
      <c r="J121" s="469"/>
      <c r="K121" s="470"/>
    </row>
    <row r="122" spans="1:11" ht="15.6">
      <c r="A122" s="147" t="s">
        <v>466</v>
      </c>
      <c r="B122" s="140">
        <f>SUM(B123:B128)</f>
        <v>1750</v>
      </c>
      <c r="C122" s="140">
        <f>SUM(C123:C128)</f>
        <v>1750</v>
      </c>
      <c r="D122" s="141"/>
      <c r="E122" s="141"/>
      <c r="F122" s="142"/>
      <c r="G122" s="142"/>
      <c r="H122" s="144"/>
      <c r="I122" s="468">
        <f>SUM(H123:H128)</f>
        <v>0.36553086419753084</v>
      </c>
      <c r="J122" s="469"/>
      <c r="K122" s="470"/>
    </row>
    <row r="123" spans="1:11" ht="31.2">
      <c r="A123" s="149" t="s">
        <v>467</v>
      </c>
      <c r="B123" s="150">
        <v>550</v>
      </c>
      <c r="C123" s="151">
        <f t="shared" ref="C123:C128" si="39">SUM(B123:B123)</f>
        <v>550</v>
      </c>
      <c r="D123" s="152">
        <v>3000</v>
      </c>
      <c r="E123" s="154">
        <f t="shared" si="36"/>
        <v>3.3333333333333332E-4</v>
      </c>
      <c r="F123" s="153" t="s">
        <v>98</v>
      </c>
      <c r="G123" s="153" t="s">
        <v>98</v>
      </c>
      <c r="H123" s="164">
        <f>E123*C123</f>
        <v>0.18333333333333332</v>
      </c>
      <c r="I123" s="468"/>
      <c r="J123" s="469"/>
      <c r="K123" s="470"/>
    </row>
    <row r="124" spans="1:11" ht="15.6">
      <c r="A124" s="149" t="s">
        <v>468</v>
      </c>
      <c r="B124" s="150">
        <v>700</v>
      </c>
      <c r="C124" s="151">
        <f t="shared" si="39"/>
        <v>700</v>
      </c>
      <c r="D124" s="152">
        <v>8100</v>
      </c>
      <c r="E124" s="154">
        <f t="shared" si="36"/>
        <v>1.2345679012345679E-4</v>
      </c>
      <c r="F124" s="153" t="s">
        <v>98</v>
      </c>
      <c r="G124" s="153" t="s">
        <v>98</v>
      </c>
      <c r="H124" s="164">
        <f t="shared" ref="H124:H128" si="40">E124*C124</f>
        <v>8.6419753086419748E-2</v>
      </c>
      <c r="I124" s="468"/>
      <c r="J124" s="469"/>
      <c r="K124" s="470"/>
    </row>
    <row r="125" spans="1:11" ht="15.6">
      <c r="A125" s="149" t="s">
        <v>469</v>
      </c>
      <c r="B125" s="150">
        <v>280</v>
      </c>
      <c r="C125" s="151">
        <f t="shared" si="39"/>
        <v>280</v>
      </c>
      <c r="D125" s="152">
        <v>3000</v>
      </c>
      <c r="E125" s="154">
        <f t="shared" si="36"/>
        <v>3.3333333333333332E-4</v>
      </c>
      <c r="F125" s="153" t="s">
        <v>98</v>
      </c>
      <c r="G125" s="153" t="s">
        <v>98</v>
      </c>
      <c r="H125" s="164">
        <f t="shared" si="40"/>
        <v>9.3333333333333324E-2</v>
      </c>
      <c r="I125" s="468"/>
      <c r="J125" s="469"/>
      <c r="K125" s="470"/>
    </row>
    <row r="126" spans="1:11" ht="15.6">
      <c r="A126" s="149" t="s">
        <v>470</v>
      </c>
      <c r="B126" s="150">
        <v>0</v>
      </c>
      <c r="C126" s="151">
        <f t="shared" si="39"/>
        <v>0</v>
      </c>
      <c r="D126" s="152" t="s">
        <v>98</v>
      </c>
      <c r="E126" s="154" t="str">
        <f t="shared" si="36"/>
        <v>N/A</v>
      </c>
      <c r="F126" s="153" t="s">
        <v>98</v>
      </c>
      <c r="G126" s="153" t="s">
        <v>98</v>
      </c>
      <c r="H126" s="152" t="s">
        <v>98</v>
      </c>
      <c r="I126" s="468"/>
      <c r="J126" s="469"/>
      <c r="K126" s="470"/>
    </row>
    <row r="127" spans="1:11" ht="15.6">
      <c r="A127" s="149" t="s">
        <v>471</v>
      </c>
      <c r="B127" s="150">
        <v>0</v>
      </c>
      <c r="C127" s="151">
        <f t="shared" si="39"/>
        <v>0</v>
      </c>
      <c r="D127" s="152" t="s">
        <v>98</v>
      </c>
      <c r="E127" s="154" t="str">
        <f t="shared" si="36"/>
        <v>N/A</v>
      </c>
      <c r="F127" s="153" t="s">
        <v>98</v>
      </c>
      <c r="G127" s="153" t="s">
        <v>98</v>
      </c>
      <c r="H127" s="152" t="s">
        <v>98</v>
      </c>
      <c r="I127" s="468"/>
      <c r="J127" s="469"/>
      <c r="K127" s="470"/>
    </row>
    <row r="128" spans="1:11" ht="31.2">
      <c r="A128" s="149" t="s">
        <v>472</v>
      </c>
      <c r="B128" s="150">
        <v>220</v>
      </c>
      <c r="C128" s="151">
        <f t="shared" si="39"/>
        <v>220</v>
      </c>
      <c r="D128" s="152">
        <v>90000</v>
      </c>
      <c r="E128" s="154">
        <f t="shared" si="36"/>
        <v>1.1111111111111112E-5</v>
      </c>
      <c r="F128" s="153" t="s">
        <v>98</v>
      </c>
      <c r="G128" s="153" t="s">
        <v>98</v>
      </c>
      <c r="H128" s="164">
        <f t="shared" si="40"/>
        <v>2.4444444444444444E-3</v>
      </c>
      <c r="I128" s="468"/>
      <c r="J128" s="469"/>
      <c r="K128" s="470"/>
    </row>
    <row r="129" spans="1:11" ht="15.6">
      <c r="A129" s="147" t="s">
        <v>439</v>
      </c>
      <c r="B129" s="140">
        <f>SUM(B130:B132)</f>
        <v>140</v>
      </c>
      <c r="C129" s="140">
        <f>SUM(C130:C132)</f>
        <v>140</v>
      </c>
      <c r="D129" s="141"/>
      <c r="E129" s="141"/>
      <c r="F129" s="142"/>
      <c r="G129" s="142"/>
      <c r="H129" s="144"/>
      <c r="I129" s="468">
        <f>SUM(H130:H132)</f>
        <v>5.4526370315844004E-4</v>
      </c>
      <c r="J129" s="469"/>
      <c r="K129" s="470"/>
    </row>
    <row r="130" spans="1:11" ht="15.6">
      <c r="A130" s="149" t="s">
        <v>440</v>
      </c>
      <c r="B130" s="150">
        <v>0</v>
      </c>
      <c r="C130" s="151">
        <f>SUM(B130:B130)</f>
        <v>0</v>
      </c>
      <c r="D130" s="152" t="s">
        <v>98</v>
      </c>
      <c r="E130" s="154" t="str">
        <f t="shared" si="36"/>
        <v>N/A</v>
      </c>
      <c r="F130" s="153" t="s">
        <v>98</v>
      </c>
      <c r="G130" s="154" t="s">
        <v>98</v>
      </c>
      <c r="H130" s="152" t="s">
        <v>98</v>
      </c>
      <c r="I130" s="468"/>
      <c r="J130" s="469"/>
      <c r="K130" s="470"/>
    </row>
    <row r="131" spans="1:11" ht="15.6">
      <c r="A131" s="149" t="s">
        <v>473</v>
      </c>
      <c r="B131" s="150">
        <v>70</v>
      </c>
      <c r="C131" s="151">
        <f>SUM(B131:B131)</f>
        <v>70</v>
      </c>
      <c r="D131" s="152">
        <v>342</v>
      </c>
      <c r="E131" s="154">
        <f t="shared" si="36"/>
        <v>2.9239766081871343E-3</v>
      </c>
      <c r="F131" s="153">
        <v>16</v>
      </c>
      <c r="G131" s="154">
        <f t="shared" ref="G131:G132" si="41">1/(ROUNDUP(30/7,2)*40)</f>
        <v>5.8275058275058279E-3</v>
      </c>
      <c r="H131" s="154">
        <f>G131*F131*E131</f>
        <v>2.7263185157922002E-4</v>
      </c>
      <c r="I131" s="468"/>
      <c r="J131" s="469"/>
      <c r="K131" s="470"/>
    </row>
    <row r="132" spans="1:11" ht="15.6">
      <c r="A132" s="149" t="s">
        <v>474</v>
      </c>
      <c r="B132" s="150">
        <v>70</v>
      </c>
      <c r="C132" s="151">
        <f>SUM(B132:B132)</f>
        <v>70</v>
      </c>
      <c r="D132" s="152">
        <v>342</v>
      </c>
      <c r="E132" s="154">
        <f t="shared" si="36"/>
        <v>2.9239766081871343E-3</v>
      </c>
      <c r="F132" s="153">
        <v>16</v>
      </c>
      <c r="G132" s="154">
        <f t="shared" si="41"/>
        <v>5.8275058275058279E-3</v>
      </c>
      <c r="H132" s="154">
        <f>G132*F132*E132</f>
        <v>2.7263185157922002E-4</v>
      </c>
      <c r="I132" s="468"/>
      <c r="J132" s="469"/>
      <c r="K132" s="470"/>
    </row>
    <row r="133" spans="1:11" ht="15.6">
      <c r="A133" s="155" t="s">
        <v>441</v>
      </c>
      <c r="B133" s="140">
        <f>B134</f>
        <v>0</v>
      </c>
      <c r="C133" s="140">
        <f>C134</f>
        <v>0</v>
      </c>
      <c r="D133" s="141"/>
      <c r="E133" s="141"/>
      <c r="F133" s="142"/>
      <c r="G133" s="142"/>
      <c r="H133" s="144"/>
      <c r="I133" s="468" t="str">
        <f>H134</f>
        <v>N/A</v>
      </c>
      <c r="J133" s="469"/>
      <c r="K133" s="470"/>
    </row>
    <row r="134" spans="1:11" ht="15.6">
      <c r="A134" s="156" t="s">
        <v>442</v>
      </c>
      <c r="B134" s="150">
        <v>0</v>
      </c>
      <c r="C134" s="151">
        <f>SUM(B134:B134)</f>
        <v>0</v>
      </c>
      <c r="D134" s="152" t="s">
        <v>98</v>
      </c>
      <c r="E134" s="154" t="str">
        <f t="shared" si="36"/>
        <v>N/A</v>
      </c>
      <c r="F134" s="153" t="s">
        <v>98</v>
      </c>
      <c r="G134" s="152" t="s">
        <v>98</v>
      </c>
      <c r="H134" s="152" t="s">
        <v>98</v>
      </c>
      <c r="I134" s="468"/>
      <c r="J134" s="469"/>
      <c r="K134" s="470"/>
    </row>
    <row r="135" spans="1:11" ht="15.6">
      <c r="A135" s="157" t="s">
        <v>475</v>
      </c>
      <c r="B135" s="140">
        <f>SUM(B114:B121)+SUM(B123:B128)+SUM(B130:B132)+SUM(B134)</f>
        <v>2676</v>
      </c>
      <c r="C135" s="140">
        <f>C113+C122+C129+C133</f>
        <v>2676</v>
      </c>
      <c r="D135" s="152"/>
      <c r="E135" s="152"/>
      <c r="F135" s="153"/>
      <c r="G135" s="153"/>
      <c r="H135" s="150"/>
      <c r="I135" s="145"/>
      <c r="J135" s="145"/>
      <c r="K135" s="148"/>
    </row>
    <row r="138" spans="1:11" ht="15.6">
      <c r="A138" s="472" t="s">
        <v>544</v>
      </c>
      <c r="B138" s="466" t="s">
        <v>444</v>
      </c>
      <c r="C138" s="467"/>
      <c r="D138" s="466" t="s">
        <v>480</v>
      </c>
      <c r="E138" s="471"/>
      <c r="F138" s="471"/>
      <c r="G138" s="471"/>
      <c r="H138" s="471"/>
      <c r="I138" s="471"/>
      <c r="J138" s="471"/>
      <c r="K138" s="467"/>
    </row>
    <row r="139" spans="1:11" ht="46.8">
      <c r="A139" s="473"/>
      <c r="B139" s="146" t="s">
        <v>481</v>
      </c>
      <c r="C139" s="142" t="s">
        <v>448</v>
      </c>
      <c r="D139" s="141" t="s">
        <v>482</v>
      </c>
      <c r="E139" s="141" t="s">
        <v>450</v>
      </c>
      <c r="F139" s="143" t="s">
        <v>451</v>
      </c>
      <c r="G139" s="143" t="s">
        <v>452</v>
      </c>
      <c r="H139" s="146" t="s">
        <v>453</v>
      </c>
      <c r="I139" s="146" t="s">
        <v>454</v>
      </c>
      <c r="J139" s="146" t="s">
        <v>455</v>
      </c>
      <c r="K139" s="146" t="s">
        <v>478</v>
      </c>
    </row>
    <row r="140" spans="1:11" ht="15.6">
      <c r="A140" s="147" t="s">
        <v>457</v>
      </c>
      <c r="B140" s="140">
        <f>SUM(B141:B148)</f>
        <v>2069</v>
      </c>
      <c r="C140" s="140">
        <f t="shared" ref="C140" si="42">SUM(C141:C148)</f>
        <v>2069</v>
      </c>
      <c r="D140" s="141"/>
      <c r="E140" s="141"/>
      <c r="F140" s="142"/>
      <c r="G140" s="142"/>
      <c r="H140" s="146"/>
      <c r="I140" s="468">
        <f>SUM(H141:H148)</f>
        <v>2.5552677029360966</v>
      </c>
      <c r="J140" s="469">
        <f>SUM(I140:I161)</f>
        <v>4.9997855307872578</v>
      </c>
      <c r="K140" s="470">
        <f>ROUND(J140,0)</f>
        <v>5</v>
      </c>
    </row>
    <row r="141" spans="1:11" ht="15.6">
      <c r="A141" s="149" t="s">
        <v>458</v>
      </c>
      <c r="B141" s="150">
        <v>0</v>
      </c>
      <c r="C141" s="151">
        <f t="shared" ref="C141:C148" si="43">SUM(B141:B141)</f>
        <v>0</v>
      </c>
      <c r="D141" s="152" t="s">
        <v>98</v>
      </c>
      <c r="E141" s="154" t="str">
        <f t="shared" ref="E141:E159" si="44">IF(C141=0,"N/A",1/D141)</f>
        <v>N/A</v>
      </c>
      <c r="F141" s="153" t="s">
        <v>98</v>
      </c>
      <c r="G141" s="153" t="s">
        <v>98</v>
      </c>
      <c r="H141" s="152" t="s">
        <v>98</v>
      </c>
      <c r="I141" s="468"/>
      <c r="J141" s="469"/>
      <c r="K141" s="470"/>
    </row>
    <row r="142" spans="1:11" ht="15.6">
      <c r="A142" s="149" t="s">
        <v>459</v>
      </c>
      <c r="B142" s="150">
        <v>1919</v>
      </c>
      <c r="C142" s="151">
        <f t="shared" si="43"/>
        <v>1919</v>
      </c>
      <c r="D142" s="152">
        <v>965</v>
      </c>
      <c r="E142" s="154">
        <f t="shared" si="44"/>
        <v>1.0362694300518134E-3</v>
      </c>
      <c r="F142" s="153" t="s">
        <v>98</v>
      </c>
      <c r="G142" s="153" t="s">
        <v>98</v>
      </c>
      <c r="H142" s="165">
        <f t="shared" ref="H142:H148" si="45">E142*C142</f>
        <v>1.98860103626943</v>
      </c>
      <c r="I142" s="468"/>
      <c r="J142" s="469"/>
      <c r="K142" s="470"/>
    </row>
    <row r="143" spans="1:11" ht="15.6">
      <c r="A143" s="149" t="s">
        <v>460</v>
      </c>
      <c r="B143" s="150">
        <v>0</v>
      </c>
      <c r="C143" s="151">
        <f t="shared" si="43"/>
        <v>0</v>
      </c>
      <c r="D143" s="152" t="s">
        <v>98</v>
      </c>
      <c r="E143" s="154" t="str">
        <f t="shared" si="44"/>
        <v>N/A</v>
      </c>
      <c r="F143" s="153" t="s">
        <v>98</v>
      </c>
      <c r="G143" s="153" t="s">
        <v>98</v>
      </c>
      <c r="H143" s="152" t="s">
        <v>98</v>
      </c>
      <c r="I143" s="468"/>
      <c r="J143" s="469"/>
      <c r="K143" s="470"/>
    </row>
    <row r="144" spans="1:11" ht="15.6">
      <c r="A144" s="149" t="s">
        <v>461</v>
      </c>
      <c r="B144" s="150">
        <v>0</v>
      </c>
      <c r="C144" s="151">
        <f t="shared" si="43"/>
        <v>0</v>
      </c>
      <c r="D144" s="152" t="s">
        <v>98</v>
      </c>
      <c r="E144" s="154" t="str">
        <f t="shared" si="44"/>
        <v>N/A</v>
      </c>
      <c r="F144" s="153" t="s">
        <v>98</v>
      </c>
      <c r="G144" s="153" t="s">
        <v>98</v>
      </c>
      <c r="H144" s="152" t="s">
        <v>98</v>
      </c>
      <c r="I144" s="468"/>
      <c r="J144" s="469"/>
      <c r="K144" s="470"/>
    </row>
    <row r="145" spans="1:11" ht="15.6">
      <c r="A145" s="149" t="s">
        <v>462</v>
      </c>
      <c r="B145" s="150">
        <v>0</v>
      </c>
      <c r="C145" s="151">
        <f t="shared" si="43"/>
        <v>0</v>
      </c>
      <c r="D145" s="152" t="s">
        <v>98</v>
      </c>
      <c r="E145" s="154" t="str">
        <f t="shared" si="44"/>
        <v>N/A</v>
      </c>
      <c r="F145" s="153" t="s">
        <v>98</v>
      </c>
      <c r="G145" s="153" t="s">
        <v>98</v>
      </c>
      <c r="H145" s="152" t="s">
        <v>98</v>
      </c>
      <c r="I145" s="468"/>
      <c r="J145" s="469"/>
      <c r="K145" s="470"/>
    </row>
    <row r="146" spans="1:11" ht="15.6">
      <c r="A146" s="149" t="s">
        <v>463</v>
      </c>
      <c r="B146" s="150">
        <v>0</v>
      </c>
      <c r="C146" s="151">
        <f t="shared" si="43"/>
        <v>0</v>
      </c>
      <c r="D146" s="152" t="s">
        <v>98</v>
      </c>
      <c r="E146" s="154" t="str">
        <f t="shared" si="44"/>
        <v>N/A</v>
      </c>
      <c r="F146" s="153" t="s">
        <v>98</v>
      </c>
      <c r="G146" s="153" t="s">
        <v>98</v>
      </c>
      <c r="H146" s="152" t="s">
        <v>98</v>
      </c>
      <c r="I146" s="468"/>
      <c r="J146" s="469"/>
      <c r="K146" s="470"/>
    </row>
    <row r="147" spans="1:11" ht="15.6">
      <c r="A147" s="149" t="s">
        <v>464</v>
      </c>
      <c r="B147" s="150">
        <v>60</v>
      </c>
      <c r="C147" s="151">
        <f t="shared" si="43"/>
        <v>60</v>
      </c>
      <c r="D147" s="152">
        <v>900</v>
      </c>
      <c r="E147" s="154">
        <f t="shared" si="44"/>
        <v>1.1111111111111111E-3</v>
      </c>
      <c r="F147" s="153" t="s">
        <v>98</v>
      </c>
      <c r="G147" s="153" t="s">
        <v>98</v>
      </c>
      <c r="H147" s="165">
        <f t="shared" si="45"/>
        <v>6.6666666666666666E-2</v>
      </c>
      <c r="I147" s="468"/>
      <c r="J147" s="469"/>
      <c r="K147" s="470"/>
    </row>
    <row r="148" spans="1:11" ht="15.6">
      <c r="A148" s="149" t="s">
        <v>465</v>
      </c>
      <c r="B148" s="150">
        <v>90</v>
      </c>
      <c r="C148" s="151">
        <f t="shared" si="43"/>
        <v>90</v>
      </c>
      <c r="D148" s="152">
        <v>180</v>
      </c>
      <c r="E148" s="154">
        <f t="shared" si="44"/>
        <v>5.5555555555555558E-3</v>
      </c>
      <c r="F148" s="153" t="s">
        <v>98</v>
      </c>
      <c r="G148" s="153" t="s">
        <v>98</v>
      </c>
      <c r="H148" s="165">
        <f t="shared" si="45"/>
        <v>0.5</v>
      </c>
      <c r="I148" s="468"/>
      <c r="J148" s="469"/>
      <c r="K148" s="470"/>
    </row>
    <row r="149" spans="1:11" ht="15.6">
      <c r="A149" s="147" t="s">
        <v>466</v>
      </c>
      <c r="B149" s="140">
        <f>SUM(B150:B155)</f>
        <v>4800</v>
      </c>
      <c r="C149" s="140">
        <f>SUM(C150:C155)</f>
        <v>4800</v>
      </c>
      <c r="D149" s="141"/>
      <c r="E149" s="141"/>
      <c r="F149" s="142"/>
      <c r="G149" s="142"/>
      <c r="H149" s="144"/>
      <c r="I149" s="468">
        <f>SUM(H150:H155)</f>
        <v>2.4438271604938269</v>
      </c>
      <c r="J149" s="469"/>
      <c r="K149" s="470"/>
    </row>
    <row r="150" spans="1:11" ht="31.2">
      <c r="A150" s="149" t="s">
        <v>467</v>
      </c>
      <c r="B150" s="150">
        <v>300</v>
      </c>
      <c r="C150" s="151">
        <f t="shared" ref="C150:C155" si="46">SUM(B150:B150)</f>
        <v>300</v>
      </c>
      <c r="D150" s="153">
        <v>1620</v>
      </c>
      <c r="E150" s="154">
        <f t="shared" si="44"/>
        <v>6.1728395061728394E-4</v>
      </c>
      <c r="F150" s="153" t="s">
        <v>98</v>
      </c>
      <c r="G150" s="153" t="s">
        <v>98</v>
      </c>
      <c r="H150" s="164">
        <f>E150*C150</f>
        <v>0.18518518518518517</v>
      </c>
      <c r="I150" s="468"/>
      <c r="J150" s="469"/>
      <c r="K150" s="470"/>
    </row>
    <row r="151" spans="1:11" ht="15.6">
      <c r="A151" s="149" t="s">
        <v>468</v>
      </c>
      <c r="B151" s="150">
        <v>500</v>
      </c>
      <c r="C151" s="151">
        <f t="shared" si="46"/>
        <v>500</v>
      </c>
      <c r="D151" s="152">
        <v>5400</v>
      </c>
      <c r="E151" s="154">
        <f t="shared" si="44"/>
        <v>1.8518518518518518E-4</v>
      </c>
      <c r="F151" s="153" t="s">
        <v>98</v>
      </c>
      <c r="G151" s="153" t="s">
        <v>98</v>
      </c>
      <c r="H151" s="164">
        <f t="shared" ref="H151:H155" si="47">E151*C151</f>
        <v>9.2592592592592587E-2</v>
      </c>
      <c r="I151" s="468"/>
      <c r="J151" s="469"/>
      <c r="K151" s="470"/>
    </row>
    <row r="152" spans="1:11" ht="15.6">
      <c r="A152" s="149" t="s">
        <v>469</v>
      </c>
      <c r="B152" s="150">
        <v>1000</v>
      </c>
      <c r="C152" s="151">
        <f t="shared" si="46"/>
        <v>1000</v>
      </c>
      <c r="D152" s="152">
        <v>1620</v>
      </c>
      <c r="E152" s="154">
        <f t="shared" si="44"/>
        <v>6.1728395061728394E-4</v>
      </c>
      <c r="F152" s="153" t="s">
        <v>98</v>
      </c>
      <c r="G152" s="153" t="s">
        <v>98</v>
      </c>
      <c r="H152" s="164">
        <f>E152*C152</f>
        <v>0.61728395061728392</v>
      </c>
      <c r="I152" s="468"/>
      <c r="J152" s="469"/>
      <c r="K152" s="470"/>
    </row>
    <row r="153" spans="1:11" ht="15.6">
      <c r="A153" s="149" t="s">
        <v>470</v>
      </c>
      <c r="B153" s="150">
        <v>500</v>
      </c>
      <c r="C153" s="151">
        <f t="shared" si="46"/>
        <v>500</v>
      </c>
      <c r="D153" s="152">
        <v>1620</v>
      </c>
      <c r="E153" s="154">
        <f t="shared" si="44"/>
        <v>6.1728395061728394E-4</v>
      </c>
      <c r="F153" s="153" t="s">
        <v>98</v>
      </c>
      <c r="G153" s="153" t="s">
        <v>98</v>
      </c>
      <c r="H153" s="164">
        <f>E153*C153</f>
        <v>0.30864197530864196</v>
      </c>
      <c r="I153" s="468"/>
      <c r="J153" s="469"/>
      <c r="K153" s="470"/>
    </row>
    <row r="154" spans="1:11" ht="15.6">
      <c r="A154" s="149" t="s">
        <v>471</v>
      </c>
      <c r="B154" s="150">
        <v>2000</v>
      </c>
      <c r="C154" s="151">
        <f t="shared" si="46"/>
        <v>2000</v>
      </c>
      <c r="D154" s="152">
        <v>1620</v>
      </c>
      <c r="E154" s="154">
        <f>IF(C154=0,"N/A",1/D154)</f>
        <v>6.1728395061728394E-4</v>
      </c>
      <c r="F154" s="153" t="s">
        <v>98</v>
      </c>
      <c r="G154" s="153" t="s">
        <v>98</v>
      </c>
      <c r="H154" s="164">
        <f>E154*C154</f>
        <v>1.2345679012345678</v>
      </c>
      <c r="I154" s="468"/>
      <c r="J154" s="469"/>
      <c r="K154" s="470"/>
    </row>
    <row r="155" spans="1:11" ht="31.2">
      <c r="A155" s="149" t="s">
        <v>472</v>
      </c>
      <c r="B155" s="150">
        <v>500</v>
      </c>
      <c r="C155" s="151">
        <f t="shared" si="46"/>
        <v>500</v>
      </c>
      <c r="D155" s="152">
        <v>90000</v>
      </c>
      <c r="E155" s="154">
        <f t="shared" si="44"/>
        <v>1.1111111111111112E-5</v>
      </c>
      <c r="F155" s="153" t="s">
        <v>98</v>
      </c>
      <c r="G155" s="153" t="s">
        <v>98</v>
      </c>
      <c r="H155" s="164">
        <f t="shared" si="47"/>
        <v>5.5555555555555558E-3</v>
      </c>
      <c r="I155" s="468"/>
      <c r="J155" s="469"/>
      <c r="K155" s="470"/>
    </row>
    <row r="156" spans="1:11" ht="15.6">
      <c r="A156" s="147" t="s">
        <v>439</v>
      </c>
      <c r="B156" s="140">
        <f>SUM(B157:B159)</f>
        <v>500</v>
      </c>
      <c r="C156" s="140">
        <f>SUM(C157:C159)</f>
        <v>500</v>
      </c>
      <c r="D156" s="141"/>
      <c r="E156" s="141"/>
      <c r="F156" s="142"/>
      <c r="G156" s="142"/>
      <c r="H156" s="144"/>
      <c r="I156" s="468">
        <f>SUM(H157:H159)</f>
        <v>6.9066735733402408E-4</v>
      </c>
      <c r="J156" s="469"/>
      <c r="K156" s="470"/>
    </row>
    <row r="157" spans="1:11" ht="15.6">
      <c r="A157" s="149" t="s">
        <v>440</v>
      </c>
      <c r="B157" s="150">
        <v>0</v>
      </c>
      <c r="C157" s="151">
        <f>SUM(B157:B157)</f>
        <v>0</v>
      </c>
      <c r="D157" s="152" t="s">
        <v>98</v>
      </c>
      <c r="E157" s="154" t="str">
        <f t="shared" si="44"/>
        <v>N/A</v>
      </c>
      <c r="F157" s="152" t="s">
        <v>98</v>
      </c>
      <c r="G157" s="152" t="s">
        <v>98</v>
      </c>
      <c r="H157" s="152" t="s">
        <v>98</v>
      </c>
      <c r="I157" s="468"/>
      <c r="J157" s="469"/>
      <c r="K157" s="470"/>
    </row>
    <row r="158" spans="1:11" ht="15.6">
      <c r="A158" s="149" t="s">
        <v>473</v>
      </c>
      <c r="B158" s="150">
        <v>250</v>
      </c>
      <c r="C158" s="151">
        <f t="shared" ref="C158:C159" si="48">SUM(B158:B158)</f>
        <v>250</v>
      </c>
      <c r="D158" s="152">
        <v>270</v>
      </c>
      <c r="E158" s="154">
        <f t="shared" si="44"/>
        <v>3.7037037037037038E-3</v>
      </c>
      <c r="F158" s="153">
        <v>16</v>
      </c>
      <c r="G158" s="154">
        <f t="shared" ref="G158:G159" si="49">1/(ROUNDUP(30/7,2)*40)</f>
        <v>5.8275058275058279E-3</v>
      </c>
      <c r="H158" s="154">
        <f>G158*F158*E158</f>
        <v>3.4533367866701204E-4</v>
      </c>
      <c r="I158" s="468"/>
      <c r="J158" s="469"/>
      <c r="K158" s="470"/>
    </row>
    <row r="159" spans="1:11" ht="15.6">
      <c r="A159" s="149" t="s">
        <v>474</v>
      </c>
      <c r="B159" s="150">
        <v>250</v>
      </c>
      <c r="C159" s="151">
        <f t="shared" si="48"/>
        <v>250</v>
      </c>
      <c r="D159" s="152">
        <v>270</v>
      </c>
      <c r="E159" s="154">
        <f t="shared" si="44"/>
        <v>3.7037037037037038E-3</v>
      </c>
      <c r="F159" s="153">
        <v>16</v>
      </c>
      <c r="G159" s="154">
        <f t="shared" si="49"/>
        <v>5.8275058275058279E-3</v>
      </c>
      <c r="H159" s="154">
        <f>G159*F159*E159</f>
        <v>3.4533367866701204E-4</v>
      </c>
      <c r="I159" s="468"/>
      <c r="J159" s="469"/>
      <c r="K159" s="470"/>
    </row>
    <row r="160" spans="1:11" ht="15.6">
      <c r="A160" s="155" t="s">
        <v>441</v>
      </c>
      <c r="B160" s="140">
        <f t="shared" ref="B160:C160" si="50">B161</f>
        <v>0</v>
      </c>
      <c r="C160" s="140">
        <f t="shared" si="50"/>
        <v>0</v>
      </c>
      <c r="D160" s="141"/>
      <c r="E160" s="141"/>
      <c r="F160" s="142"/>
      <c r="G160" s="142"/>
      <c r="H160" s="144"/>
      <c r="I160" s="468" t="str">
        <f>H161</f>
        <v>N/A</v>
      </c>
      <c r="J160" s="469"/>
      <c r="K160" s="470"/>
    </row>
    <row r="161" spans="1:12" ht="15.6">
      <c r="A161" s="156" t="s">
        <v>442</v>
      </c>
      <c r="B161" s="198">
        <v>0</v>
      </c>
      <c r="C161" s="199">
        <v>0</v>
      </c>
      <c r="D161" s="152" t="s">
        <v>98</v>
      </c>
      <c r="E161" s="154" t="s">
        <v>98</v>
      </c>
      <c r="F161" s="153" t="s">
        <v>98</v>
      </c>
      <c r="G161" s="154" t="s">
        <v>98</v>
      </c>
      <c r="H161" s="154" t="s">
        <v>98</v>
      </c>
      <c r="I161" s="468"/>
      <c r="J161" s="469"/>
      <c r="K161" s="470"/>
      <c r="L161" s="134"/>
    </row>
    <row r="162" spans="1:12" ht="15.6">
      <c r="A162" s="157" t="s">
        <v>475</v>
      </c>
      <c r="B162" s="140">
        <f>SUM(B141:B148)+SUM(B150:B155)+SUM(B157:B159)+SUM(B161)</f>
        <v>7369</v>
      </c>
      <c r="C162" s="140">
        <f>C140+C149+C156+C160</f>
        <v>7369</v>
      </c>
      <c r="D162" s="152"/>
      <c r="E162" s="152"/>
      <c r="F162" s="153"/>
      <c r="G162" s="153"/>
      <c r="H162" s="150"/>
      <c r="I162" s="145"/>
      <c r="J162" s="145"/>
      <c r="K162" s="148"/>
      <c r="L162" s="134"/>
    </row>
    <row r="163" spans="1:12" ht="19.5" customHeight="1">
      <c r="A163" s="162"/>
      <c r="B163" s="163"/>
      <c r="C163" s="163"/>
      <c r="D163" s="163"/>
      <c r="E163" s="163"/>
      <c r="F163" s="158"/>
      <c r="G163" s="158"/>
      <c r="H163" s="159"/>
      <c r="I163" s="159"/>
      <c r="J163" s="160"/>
      <c r="K163" s="161"/>
      <c r="L163" s="161"/>
    </row>
    <row r="164" spans="1:12" ht="15.6">
      <c r="A164" s="472" t="s">
        <v>545</v>
      </c>
      <c r="B164" s="466" t="s">
        <v>444</v>
      </c>
      <c r="C164" s="471"/>
      <c r="D164" s="467"/>
      <c r="E164" s="466" t="s">
        <v>480</v>
      </c>
      <c r="F164" s="471"/>
      <c r="G164" s="471"/>
      <c r="H164" s="471"/>
      <c r="I164" s="471"/>
      <c r="J164" s="471"/>
      <c r="K164" s="471"/>
      <c r="L164" s="467"/>
    </row>
    <row r="165" spans="1:12" ht="46.8">
      <c r="A165" s="473"/>
      <c r="B165" s="146" t="s">
        <v>481</v>
      </c>
      <c r="C165" s="146" t="s">
        <v>485</v>
      </c>
      <c r="D165" s="142" t="s">
        <v>448</v>
      </c>
      <c r="E165" s="141" t="s">
        <v>482</v>
      </c>
      <c r="F165" s="141" t="s">
        <v>450</v>
      </c>
      <c r="G165" s="143" t="s">
        <v>451</v>
      </c>
      <c r="H165" s="143" t="s">
        <v>452</v>
      </c>
      <c r="I165" s="146" t="s">
        <v>453</v>
      </c>
      <c r="J165" s="146" t="s">
        <v>454</v>
      </c>
      <c r="K165" s="146" t="s">
        <v>455</v>
      </c>
      <c r="L165" s="146" t="s">
        <v>478</v>
      </c>
    </row>
    <row r="166" spans="1:12" ht="15.6">
      <c r="A166" s="147" t="s">
        <v>457</v>
      </c>
      <c r="B166" s="140">
        <f>SUM(B167:B174)</f>
        <v>6984.3</v>
      </c>
      <c r="C166" s="140">
        <f t="shared" ref="C166" si="51">SUM(C167:C174)</f>
        <v>909.6</v>
      </c>
      <c r="D166" s="140">
        <f>SUM(D167:D174)</f>
        <v>7893.9000000000005</v>
      </c>
      <c r="E166" s="141"/>
      <c r="F166" s="141"/>
      <c r="G166" s="142"/>
      <c r="H166" s="142"/>
      <c r="I166" s="146"/>
      <c r="J166" s="468">
        <f>SUM(I167:I174)</f>
        <v>3.7183704130233881</v>
      </c>
      <c r="K166" s="469">
        <f>SUM(J166:J187)</f>
        <v>5.0028662940104978</v>
      </c>
      <c r="L166" s="470">
        <f>ROUND(K166,0)</f>
        <v>5</v>
      </c>
    </row>
    <row r="167" spans="1:12" ht="15.6">
      <c r="A167" s="149" t="s">
        <v>458</v>
      </c>
      <c r="B167" s="150">
        <v>101</v>
      </c>
      <c r="C167" s="150">
        <v>0</v>
      </c>
      <c r="D167" s="151">
        <f>SUM(B167:C167)</f>
        <v>101</v>
      </c>
      <c r="E167" s="152">
        <v>1080</v>
      </c>
      <c r="F167" s="154">
        <f>IF(D167=0,"N/A",1/E167)</f>
        <v>9.2592592592592596E-4</v>
      </c>
      <c r="G167" s="153" t="s">
        <v>98</v>
      </c>
      <c r="H167" s="153" t="s">
        <v>98</v>
      </c>
      <c r="I167" s="165">
        <f>F167*D167</f>
        <v>9.3518518518518529E-2</v>
      </c>
      <c r="J167" s="468"/>
      <c r="K167" s="469"/>
      <c r="L167" s="470"/>
    </row>
    <row r="168" spans="1:12" ht="15.6">
      <c r="A168" s="149" t="s">
        <v>459</v>
      </c>
      <c r="B168" s="150">
        <v>1444</v>
      </c>
      <c r="C168" s="150">
        <v>572</v>
      </c>
      <c r="D168" s="151">
        <f t="shared" ref="D168:D174" si="52">SUM(B168:C168)</f>
        <v>2016</v>
      </c>
      <c r="E168" s="152">
        <v>1500</v>
      </c>
      <c r="F168" s="154">
        <f t="shared" ref="F168:F187" si="53">IF(D168=0,"N/A",1/E168)</f>
        <v>6.6666666666666664E-4</v>
      </c>
      <c r="G168" s="153" t="s">
        <v>98</v>
      </c>
      <c r="H168" s="153" t="s">
        <v>98</v>
      </c>
      <c r="I168" s="165">
        <f>F168*D168</f>
        <v>1.3439999999999999</v>
      </c>
      <c r="J168" s="468"/>
      <c r="K168" s="469"/>
      <c r="L168" s="470"/>
    </row>
    <row r="169" spans="1:12" ht="15.6">
      <c r="A169" s="149" t="s">
        <v>460</v>
      </c>
      <c r="B169" s="150">
        <v>0</v>
      </c>
      <c r="C169" s="150">
        <v>0</v>
      </c>
      <c r="D169" s="151">
        <f t="shared" si="52"/>
        <v>0</v>
      </c>
      <c r="E169" s="153" t="s">
        <v>98</v>
      </c>
      <c r="F169" s="154" t="str">
        <f t="shared" si="53"/>
        <v>N/A</v>
      </c>
      <c r="G169" s="153" t="s">
        <v>98</v>
      </c>
      <c r="H169" s="153" t="s">
        <v>98</v>
      </c>
      <c r="I169" s="153" t="s">
        <v>98</v>
      </c>
      <c r="J169" s="468"/>
      <c r="K169" s="469"/>
      <c r="L169" s="470"/>
    </row>
    <row r="170" spans="1:12" ht="15.6">
      <c r="A170" s="149" t="s">
        <v>461</v>
      </c>
      <c r="B170" s="150">
        <v>24.3</v>
      </c>
      <c r="C170" s="150">
        <v>0</v>
      </c>
      <c r="D170" s="151">
        <f t="shared" si="52"/>
        <v>24.3</v>
      </c>
      <c r="E170" s="152">
        <v>2250</v>
      </c>
      <c r="F170" s="154">
        <f t="shared" si="53"/>
        <v>4.4444444444444447E-4</v>
      </c>
      <c r="G170" s="153" t="s">
        <v>98</v>
      </c>
      <c r="H170" s="153" t="s">
        <v>98</v>
      </c>
      <c r="I170" s="165">
        <f>F170*D170</f>
        <v>1.0800000000000001E-2</v>
      </c>
      <c r="J170" s="468"/>
      <c r="K170" s="469"/>
      <c r="L170" s="470"/>
    </row>
    <row r="171" spans="1:12" ht="15.6">
      <c r="A171" s="149" t="s">
        <v>462</v>
      </c>
      <c r="B171" s="150">
        <v>0</v>
      </c>
      <c r="C171" s="150">
        <v>0</v>
      </c>
      <c r="D171" s="151">
        <f t="shared" si="52"/>
        <v>0</v>
      </c>
      <c r="E171" s="153" t="s">
        <v>98</v>
      </c>
      <c r="F171" s="154" t="str">
        <f t="shared" si="53"/>
        <v>N/A</v>
      </c>
      <c r="G171" s="153" t="s">
        <v>98</v>
      </c>
      <c r="H171" s="153" t="s">
        <v>98</v>
      </c>
      <c r="I171" s="153" t="s">
        <v>98</v>
      </c>
      <c r="J171" s="468"/>
      <c r="K171" s="469"/>
      <c r="L171" s="470"/>
    </row>
    <row r="172" spans="1:12" ht="15.6">
      <c r="A172" s="149" t="s">
        <v>463</v>
      </c>
      <c r="B172" s="150">
        <v>0</v>
      </c>
      <c r="C172" s="150">
        <v>0</v>
      </c>
      <c r="D172" s="151">
        <f t="shared" si="52"/>
        <v>0</v>
      </c>
      <c r="E172" s="153" t="s">
        <v>98</v>
      </c>
      <c r="F172" s="154" t="str">
        <f t="shared" si="53"/>
        <v>N/A</v>
      </c>
      <c r="G172" s="153" t="s">
        <v>98</v>
      </c>
      <c r="H172" s="153" t="s">
        <v>98</v>
      </c>
      <c r="I172" s="153" t="s">
        <v>98</v>
      </c>
      <c r="J172" s="468"/>
      <c r="K172" s="469"/>
      <c r="L172" s="470"/>
    </row>
    <row r="173" spans="1:12" ht="15.6">
      <c r="A173" s="149" t="s">
        <v>464</v>
      </c>
      <c r="B173" s="150">
        <v>5125</v>
      </c>
      <c r="C173" s="150">
        <v>295.60000000000002</v>
      </c>
      <c r="D173" s="151">
        <f t="shared" si="52"/>
        <v>5420.6</v>
      </c>
      <c r="E173" s="152">
        <v>5210</v>
      </c>
      <c r="F173" s="154">
        <f t="shared" si="53"/>
        <v>1.9193857965451057E-4</v>
      </c>
      <c r="G173" s="153" t="s">
        <v>98</v>
      </c>
      <c r="H173" s="153" t="s">
        <v>98</v>
      </c>
      <c r="I173" s="165">
        <f>F173*D173</f>
        <v>1.0404222648752401</v>
      </c>
      <c r="J173" s="468"/>
      <c r="K173" s="469"/>
      <c r="L173" s="470"/>
    </row>
    <row r="174" spans="1:12" ht="15.6">
      <c r="A174" s="149" t="s">
        <v>465</v>
      </c>
      <c r="B174" s="150">
        <v>290</v>
      </c>
      <c r="C174" s="150">
        <v>42</v>
      </c>
      <c r="D174" s="151">
        <f t="shared" si="52"/>
        <v>332</v>
      </c>
      <c r="E174" s="152">
        <v>270</v>
      </c>
      <c r="F174" s="154">
        <f t="shared" si="53"/>
        <v>3.7037037037037038E-3</v>
      </c>
      <c r="G174" s="153" t="s">
        <v>98</v>
      </c>
      <c r="H174" s="153" t="s">
        <v>98</v>
      </c>
      <c r="I174" s="165">
        <f>F174*D174</f>
        <v>1.2296296296296296</v>
      </c>
      <c r="J174" s="468"/>
      <c r="K174" s="469"/>
      <c r="L174" s="470"/>
    </row>
    <row r="175" spans="1:12" ht="15.6">
      <c r="A175" s="147" t="s">
        <v>466</v>
      </c>
      <c r="B175" s="140">
        <f>SUM(B176:B181)</f>
        <v>1296</v>
      </c>
      <c r="C175" s="140">
        <f t="shared" ref="C175:D175" si="54">SUM(C176:C181)</f>
        <v>1824</v>
      </c>
      <c r="D175" s="140">
        <f t="shared" si="54"/>
        <v>3120</v>
      </c>
      <c r="E175" s="141"/>
      <c r="F175" s="141"/>
      <c r="G175" s="142"/>
      <c r="H175" s="142"/>
      <c r="I175" s="144"/>
      <c r="J175" s="468">
        <f>SUM(I176:I181)</f>
        <v>1.2839506172839505</v>
      </c>
      <c r="K175" s="469"/>
      <c r="L175" s="470"/>
    </row>
    <row r="176" spans="1:12" ht="31.2">
      <c r="A176" s="149" t="s">
        <v>467</v>
      </c>
      <c r="B176" s="150">
        <v>1296</v>
      </c>
      <c r="C176" s="150">
        <v>1824</v>
      </c>
      <c r="D176" s="151">
        <f>SUM(B176:C176)</f>
        <v>3120</v>
      </c>
      <c r="E176" s="152">
        <v>2430</v>
      </c>
      <c r="F176" s="154">
        <f t="shared" si="53"/>
        <v>4.1152263374485596E-4</v>
      </c>
      <c r="G176" s="153" t="s">
        <v>98</v>
      </c>
      <c r="H176" s="153" t="s">
        <v>98</v>
      </c>
      <c r="I176" s="164">
        <f>F176*D176</f>
        <v>1.2839506172839505</v>
      </c>
      <c r="J176" s="468"/>
      <c r="K176" s="469"/>
      <c r="L176" s="470"/>
    </row>
    <row r="177" spans="1:12" ht="15.6">
      <c r="A177" s="149" t="s">
        <v>468</v>
      </c>
      <c r="B177" s="150">
        <v>0</v>
      </c>
      <c r="C177" s="150">
        <v>0</v>
      </c>
      <c r="D177" s="151">
        <f t="shared" ref="D177:D181" si="55">SUM(B177:C177)</f>
        <v>0</v>
      </c>
      <c r="E177" s="153" t="s">
        <v>98</v>
      </c>
      <c r="F177" s="154" t="str">
        <f t="shared" si="53"/>
        <v>N/A</v>
      </c>
      <c r="G177" s="153" t="s">
        <v>98</v>
      </c>
      <c r="H177" s="153" t="s">
        <v>98</v>
      </c>
      <c r="I177" s="153" t="s">
        <v>98</v>
      </c>
      <c r="J177" s="468"/>
      <c r="K177" s="469"/>
      <c r="L177" s="470"/>
    </row>
    <row r="178" spans="1:12" ht="15.6">
      <c r="A178" s="149" t="s">
        <v>469</v>
      </c>
      <c r="B178" s="150">
        <v>0</v>
      </c>
      <c r="C178" s="150">
        <v>0</v>
      </c>
      <c r="D178" s="151">
        <f t="shared" si="55"/>
        <v>0</v>
      </c>
      <c r="E178" s="153" t="s">
        <v>98</v>
      </c>
      <c r="F178" s="154" t="str">
        <f t="shared" si="53"/>
        <v>N/A</v>
      </c>
      <c r="G178" s="153" t="s">
        <v>98</v>
      </c>
      <c r="H178" s="153" t="s">
        <v>98</v>
      </c>
      <c r="I178" s="153" t="s">
        <v>98</v>
      </c>
      <c r="J178" s="468"/>
      <c r="K178" s="469"/>
      <c r="L178" s="470"/>
    </row>
    <row r="179" spans="1:12" ht="15.6">
      <c r="A179" s="149" t="s">
        <v>470</v>
      </c>
      <c r="B179" s="150">
        <v>0</v>
      </c>
      <c r="C179" s="150">
        <v>0</v>
      </c>
      <c r="D179" s="151">
        <f t="shared" si="55"/>
        <v>0</v>
      </c>
      <c r="E179" s="153" t="s">
        <v>98</v>
      </c>
      <c r="F179" s="154" t="str">
        <f t="shared" si="53"/>
        <v>N/A</v>
      </c>
      <c r="G179" s="153" t="s">
        <v>98</v>
      </c>
      <c r="H179" s="153" t="s">
        <v>98</v>
      </c>
      <c r="I179" s="153" t="s">
        <v>98</v>
      </c>
      <c r="J179" s="468"/>
      <c r="K179" s="469"/>
      <c r="L179" s="470"/>
    </row>
    <row r="180" spans="1:12" ht="15.6">
      <c r="A180" s="149" t="s">
        <v>471</v>
      </c>
      <c r="B180" s="150">
        <v>0</v>
      </c>
      <c r="C180" s="150">
        <v>0</v>
      </c>
      <c r="D180" s="151">
        <f t="shared" si="55"/>
        <v>0</v>
      </c>
      <c r="E180" s="153" t="s">
        <v>98</v>
      </c>
      <c r="F180" s="154" t="str">
        <f t="shared" si="53"/>
        <v>N/A</v>
      </c>
      <c r="G180" s="153" t="s">
        <v>98</v>
      </c>
      <c r="H180" s="153" t="s">
        <v>98</v>
      </c>
      <c r="I180" s="153" t="s">
        <v>98</v>
      </c>
      <c r="J180" s="468"/>
      <c r="K180" s="469"/>
      <c r="L180" s="470"/>
    </row>
    <row r="181" spans="1:12" ht="31.2">
      <c r="A181" s="149" t="s">
        <v>472</v>
      </c>
      <c r="B181" s="150">
        <v>0</v>
      </c>
      <c r="C181" s="150">
        <v>0</v>
      </c>
      <c r="D181" s="151">
        <f t="shared" si="55"/>
        <v>0</v>
      </c>
      <c r="E181" s="153" t="s">
        <v>98</v>
      </c>
      <c r="F181" s="154" t="str">
        <f t="shared" si="53"/>
        <v>N/A</v>
      </c>
      <c r="G181" s="153" t="s">
        <v>98</v>
      </c>
      <c r="H181" s="153" t="s">
        <v>98</v>
      </c>
      <c r="I181" s="153" t="s">
        <v>98</v>
      </c>
      <c r="J181" s="468"/>
      <c r="K181" s="469"/>
      <c r="L181" s="470"/>
    </row>
    <row r="182" spans="1:12" ht="15.6">
      <c r="A182" s="147" t="s">
        <v>439</v>
      </c>
      <c r="B182" s="140">
        <f>SUM(B183:B185)</f>
        <v>1228.67</v>
      </c>
      <c r="C182" s="140">
        <f>SUM(C183:C185)</f>
        <v>250</v>
      </c>
      <c r="D182" s="140">
        <f>SUM(D183:D185)</f>
        <v>1478.67</v>
      </c>
      <c r="E182" s="141"/>
      <c r="F182" s="141"/>
      <c r="G182" s="142"/>
      <c r="H182" s="142"/>
      <c r="I182" s="144"/>
      <c r="J182" s="468">
        <f>SUM(I183:I185)</f>
        <v>5.4526370315844004E-4</v>
      </c>
      <c r="K182" s="469"/>
      <c r="L182" s="470"/>
    </row>
    <row r="183" spans="1:12" ht="15.6">
      <c r="A183" s="149" t="s">
        <v>440</v>
      </c>
      <c r="B183" s="150">
        <v>0</v>
      </c>
      <c r="C183" s="150">
        <v>0</v>
      </c>
      <c r="D183" s="151">
        <f>SUM(B183:C183)</f>
        <v>0</v>
      </c>
      <c r="E183" s="152" t="s">
        <v>98</v>
      </c>
      <c r="F183" s="154" t="str">
        <f>IF(D183=0,"N/A",1/E183)</f>
        <v>N/A</v>
      </c>
      <c r="G183" s="153" t="s">
        <v>98</v>
      </c>
      <c r="H183" s="154" t="s">
        <v>98</v>
      </c>
      <c r="I183" s="154" t="s">
        <v>98</v>
      </c>
      <c r="J183" s="468"/>
      <c r="K183" s="469"/>
      <c r="L183" s="470"/>
    </row>
    <row r="184" spans="1:12" ht="15.6">
      <c r="A184" s="149" t="s">
        <v>473</v>
      </c>
      <c r="B184" s="150">
        <v>307.17</v>
      </c>
      <c r="C184" s="150">
        <v>125</v>
      </c>
      <c r="D184" s="151">
        <f t="shared" ref="D184:D185" si="56">SUM(B184:C184)</f>
        <v>432.17</v>
      </c>
      <c r="E184" s="152">
        <v>342</v>
      </c>
      <c r="F184" s="154">
        <f t="shared" si="53"/>
        <v>2.9239766081871343E-3</v>
      </c>
      <c r="G184" s="153">
        <v>16</v>
      </c>
      <c r="H184" s="154">
        <f>1/(ROUNDUP(30/7,2)*40)</f>
        <v>5.8275058275058279E-3</v>
      </c>
      <c r="I184" s="154">
        <f>H184*G184*F184</f>
        <v>2.7263185157922002E-4</v>
      </c>
      <c r="J184" s="468"/>
      <c r="K184" s="469"/>
      <c r="L184" s="470"/>
    </row>
    <row r="185" spans="1:12" ht="15.6">
      <c r="A185" s="149" t="s">
        <v>474</v>
      </c>
      <c r="B185" s="150">
        <v>921.5</v>
      </c>
      <c r="C185" s="150">
        <v>125</v>
      </c>
      <c r="D185" s="151">
        <f t="shared" si="56"/>
        <v>1046.5</v>
      </c>
      <c r="E185" s="152">
        <v>342</v>
      </c>
      <c r="F185" s="154">
        <f t="shared" si="53"/>
        <v>2.9239766081871343E-3</v>
      </c>
      <c r="G185" s="153">
        <v>16</v>
      </c>
      <c r="H185" s="154">
        <f>1/(ROUNDUP(30/7,2)*40)</f>
        <v>5.8275058275058279E-3</v>
      </c>
      <c r="I185" s="154">
        <f>H185*G185*F185</f>
        <v>2.7263185157922002E-4</v>
      </c>
      <c r="J185" s="468"/>
      <c r="K185" s="469"/>
      <c r="L185" s="470"/>
    </row>
    <row r="186" spans="1:12" ht="15.6">
      <c r="A186" s="155" t="s">
        <v>441</v>
      </c>
      <c r="B186" s="140">
        <f t="shared" ref="B186:D186" si="57">B187</f>
        <v>0</v>
      </c>
      <c r="C186" s="140">
        <f t="shared" si="57"/>
        <v>0</v>
      </c>
      <c r="D186" s="140">
        <f t="shared" si="57"/>
        <v>0</v>
      </c>
      <c r="E186" s="141"/>
      <c r="F186" s="141"/>
      <c r="G186" s="142"/>
      <c r="H186" s="142"/>
      <c r="I186" s="144"/>
      <c r="J186" s="468" t="str">
        <f>I187</f>
        <v>N/A</v>
      </c>
      <c r="K186" s="469"/>
      <c r="L186" s="470"/>
    </row>
    <row r="187" spans="1:12" ht="15.6">
      <c r="A187" s="156" t="s">
        <v>442</v>
      </c>
      <c r="B187" s="150">
        <v>0</v>
      </c>
      <c r="C187" s="150">
        <v>0</v>
      </c>
      <c r="D187" s="151">
        <f>SUM(B187:C187)</f>
        <v>0</v>
      </c>
      <c r="E187" s="153" t="s">
        <v>98</v>
      </c>
      <c r="F187" s="154" t="str">
        <f t="shared" si="53"/>
        <v>N/A</v>
      </c>
      <c r="G187" s="153" t="s">
        <v>98</v>
      </c>
      <c r="H187" s="153" t="s">
        <v>98</v>
      </c>
      <c r="I187" s="153" t="s">
        <v>98</v>
      </c>
      <c r="J187" s="468"/>
      <c r="K187" s="469"/>
      <c r="L187" s="470"/>
    </row>
    <row r="188" spans="1:12" ht="15.6">
      <c r="A188" s="157" t="s">
        <v>475</v>
      </c>
      <c r="B188" s="140">
        <f>SUM(B167:B174)+SUM(B176:B181)+SUM(B183:B185)+SUM(B187)</f>
        <v>9508.9699999999993</v>
      </c>
      <c r="C188" s="140">
        <f>SUM(C167:C174)+SUM(C176:C181)+SUM(C183:C185)+SUM(C187)</f>
        <v>2983.6</v>
      </c>
      <c r="D188" s="140">
        <f>D166+D175+D182+D186</f>
        <v>12492.570000000002</v>
      </c>
      <c r="E188" s="152"/>
      <c r="F188" s="152"/>
      <c r="G188" s="153"/>
      <c r="H188" s="153"/>
      <c r="I188" s="150"/>
      <c r="J188" s="145"/>
      <c r="K188" s="145"/>
      <c r="L188" s="148"/>
    </row>
    <row r="189" spans="1:12" ht="15.6">
      <c r="A189" s="162"/>
      <c r="B189" s="163"/>
      <c r="C189" s="163"/>
      <c r="D189" s="163"/>
      <c r="E189" s="163"/>
      <c r="F189" s="158"/>
      <c r="G189" s="158"/>
      <c r="H189" s="159"/>
      <c r="I189" s="159"/>
      <c r="J189" s="160"/>
      <c r="K189" s="161"/>
      <c r="L189" s="161"/>
    </row>
    <row r="190" spans="1:12" ht="15.6">
      <c r="A190" s="472" t="s">
        <v>486</v>
      </c>
      <c r="B190" s="466" t="s">
        <v>444</v>
      </c>
      <c r="C190" s="467"/>
      <c r="D190" s="466" t="s">
        <v>480</v>
      </c>
      <c r="E190" s="471"/>
      <c r="F190" s="471"/>
      <c r="G190" s="471"/>
      <c r="H190" s="471"/>
      <c r="I190" s="471"/>
      <c r="J190" s="471"/>
      <c r="K190" s="467"/>
      <c r="L190" s="134"/>
    </row>
    <row r="191" spans="1:12" ht="46.8">
      <c r="A191" s="473"/>
      <c r="B191" s="146" t="s">
        <v>487</v>
      </c>
      <c r="C191" s="142" t="s">
        <v>448</v>
      </c>
      <c r="D191" s="141" t="s">
        <v>482</v>
      </c>
      <c r="E191" s="141" t="s">
        <v>450</v>
      </c>
      <c r="F191" s="143" t="s">
        <v>451</v>
      </c>
      <c r="G191" s="143" t="s">
        <v>452</v>
      </c>
      <c r="H191" s="146" t="s">
        <v>453</v>
      </c>
      <c r="I191" s="146" t="s">
        <v>454</v>
      </c>
      <c r="J191" s="146" t="s">
        <v>455</v>
      </c>
      <c r="K191" s="146" t="s">
        <v>478</v>
      </c>
      <c r="L191" s="134"/>
    </row>
    <row r="192" spans="1:12" ht="15.6">
      <c r="A192" s="147" t="s">
        <v>457</v>
      </c>
      <c r="B192" s="140">
        <f>SUM(B193:B200)</f>
        <v>1513.35</v>
      </c>
      <c r="C192" s="140">
        <f>SUM(C193:C200)</f>
        <v>1513.35</v>
      </c>
      <c r="D192" s="141"/>
      <c r="E192" s="141"/>
      <c r="F192" s="142"/>
      <c r="G192" s="142"/>
      <c r="H192" s="146"/>
      <c r="I192" s="468">
        <f>SUM(H193:H200)</f>
        <v>1.7588305555555557</v>
      </c>
      <c r="J192" s="469">
        <f>SUM(I192:I213)</f>
        <v>2.0020370003453341</v>
      </c>
      <c r="K192" s="470">
        <f>ROUND(J192,0)</f>
        <v>2</v>
      </c>
      <c r="L192" s="134"/>
    </row>
    <row r="193" spans="1:11" ht="15.6">
      <c r="A193" s="149" t="s">
        <v>458</v>
      </c>
      <c r="B193" s="150">
        <v>0</v>
      </c>
      <c r="C193" s="151">
        <f t="shared" ref="C193:C200" si="58">SUM(B193:B193)</f>
        <v>0</v>
      </c>
      <c r="D193" s="153" t="s">
        <v>98</v>
      </c>
      <c r="E193" s="153" t="s">
        <v>98</v>
      </c>
      <c r="F193" s="153" t="s">
        <v>98</v>
      </c>
      <c r="G193" s="153" t="s">
        <v>98</v>
      </c>
      <c r="H193" s="153" t="s">
        <v>98</v>
      </c>
      <c r="I193" s="468"/>
      <c r="J193" s="469"/>
      <c r="K193" s="470"/>
    </row>
    <row r="194" spans="1:11" ht="15.6">
      <c r="A194" s="149" t="s">
        <v>459</v>
      </c>
      <c r="B194" s="150">
        <v>1203.06</v>
      </c>
      <c r="C194" s="151">
        <f t="shared" si="58"/>
        <v>1203.06</v>
      </c>
      <c r="D194" s="152">
        <v>800</v>
      </c>
      <c r="E194" s="154">
        <f>1/D194</f>
        <v>1.25E-3</v>
      </c>
      <c r="F194" s="153" t="s">
        <v>98</v>
      </c>
      <c r="G194" s="153" t="s">
        <v>98</v>
      </c>
      <c r="H194" s="165">
        <f>E194*C194</f>
        <v>1.503825</v>
      </c>
      <c r="I194" s="468"/>
      <c r="J194" s="469"/>
      <c r="K194" s="470"/>
    </row>
    <row r="195" spans="1:11" ht="15.6">
      <c r="A195" s="149" t="s">
        <v>460</v>
      </c>
      <c r="B195" s="150">
        <v>0</v>
      </c>
      <c r="C195" s="151">
        <f t="shared" si="58"/>
        <v>0</v>
      </c>
      <c r="D195" s="153" t="s">
        <v>98</v>
      </c>
      <c r="E195" s="153" t="s">
        <v>98</v>
      </c>
      <c r="F195" s="153" t="s">
        <v>98</v>
      </c>
      <c r="G195" s="153" t="s">
        <v>98</v>
      </c>
      <c r="H195" s="153" t="s">
        <v>98</v>
      </c>
      <c r="I195" s="468"/>
      <c r="J195" s="469"/>
      <c r="K195" s="470"/>
    </row>
    <row r="196" spans="1:11" ht="15.6">
      <c r="A196" s="149" t="s">
        <v>461</v>
      </c>
      <c r="B196" s="150">
        <v>291.7</v>
      </c>
      <c r="C196" s="151">
        <f t="shared" si="58"/>
        <v>291.7</v>
      </c>
      <c r="D196" s="152">
        <v>1800</v>
      </c>
      <c r="E196" s="154">
        <f>1/D196</f>
        <v>5.5555555555555556E-4</v>
      </c>
      <c r="F196" s="153" t="s">
        <v>98</v>
      </c>
      <c r="G196" s="153" t="s">
        <v>98</v>
      </c>
      <c r="H196" s="165">
        <f>E196*C196</f>
        <v>0.16205555555555554</v>
      </c>
      <c r="I196" s="468"/>
      <c r="J196" s="469"/>
      <c r="K196" s="470"/>
    </row>
    <row r="197" spans="1:11" ht="15.6">
      <c r="A197" s="149" t="s">
        <v>462</v>
      </c>
      <c r="B197" s="150">
        <v>0</v>
      </c>
      <c r="C197" s="151">
        <f t="shared" si="58"/>
        <v>0</v>
      </c>
      <c r="D197" s="153" t="s">
        <v>98</v>
      </c>
      <c r="E197" s="153" t="s">
        <v>98</v>
      </c>
      <c r="F197" s="153" t="s">
        <v>98</v>
      </c>
      <c r="G197" s="153" t="s">
        <v>98</v>
      </c>
      <c r="H197" s="153" t="s">
        <v>98</v>
      </c>
      <c r="I197" s="468"/>
      <c r="J197" s="469"/>
      <c r="K197" s="470"/>
    </row>
    <row r="198" spans="1:11" ht="15.6">
      <c r="A198" s="149" t="s">
        <v>463</v>
      </c>
      <c r="B198" s="150">
        <v>0</v>
      </c>
      <c r="C198" s="151">
        <f t="shared" si="58"/>
        <v>0</v>
      </c>
      <c r="D198" s="153" t="s">
        <v>98</v>
      </c>
      <c r="E198" s="153" t="s">
        <v>98</v>
      </c>
      <c r="F198" s="153" t="s">
        <v>98</v>
      </c>
      <c r="G198" s="153" t="s">
        <v>98</v>
      </c>
      <c r="H198" s="153" t="s">
        <v>98</v>
      </c>
      <c r="I198" s="468"/>
      <c r="J198" s="469"/>
      <c r="K198" s="470"/>
    </row>
    <row r="199" spans="1:11" ht="15.6">
      <c r="A199" s="149" t="s">
        <v>464</v>
      </c>
      <c r="B199" s="150">
        <v>0</v>
      </c>
      <c r="C199" s="151">
        <f t="shared" si="58"/>
        <v>0</v>
      </c>
      <c r="D199" s="153" t="s">
        <v>98</v>
      </c>
      <c r="E199" s="154" t="s">
        <v>98</v>
      </c>
      <c r="F199" s="153" t="s">
        <v>98</v>
      </c>
      <c r="G199" s="153" t="s">
        <v>98</v>
      </c>
      <c r="H199" s="165" t="s">
        <v>98</v>
      </c>
      <c r="I199" s="468"/>
      <c r="J199" s="469"/>
      <c r="K199" s="470"/>
    </row>
    <row r="200" spans="1:11" ht="15.6">
      <c r="A200" s="149" t="s">
        <v>465</v>
      </c>
      <c r="B200" s="150">
        <v>18.59</v>
      </c>
      <c r="C200" s="151">
        <f t="shared" si="58"/>
        <v>18.59</v>
      </c>
      <c r="D200" s="152">
        <v>200</v>
      </c>
      <c r="E200" s="154">
        <f>1/D200</f>
        <v>5.0000000000000001E-3</v>
      </c>
      <c r="F200" s="153" t="s">
        <v>98</v>
      </c>
      <c r="G200" s="153" t="s">
        <v>98</v>
      </c>
      <c r="H200" s="165">
        <f t="shared" ref="H200" si="59">E200*C200</f>
        <v>9.2950000000000005E-2</v>
      </c>
      <c r="I200" s="468"/>
      <c r="J200" s="469"/>
      <c r="K200" s="470"/>
    </row>
    <row r="201" spans="1:11" ht="15.6">
      <c r="A201" s="147" t="s">
        <v>466</v>
      </c>
      <c r="B201" s="140">
        <f>SUM(B202:B207)</f>
        <v>1311.45</v>
      </c>
      <c r="C201" s="140">
        <f>SUM(C202:C207)</f>
        <v>1311.45</v>
      </c>
      <c r="D201" s="141"/>
      <c r="E201" s="141"/>
      <c r="F201" s="142"/>
      <c r="G201" s="142"/>
      <c r="H201" s="144"/>
      <c r="I201" s="468">
        <f>SUM(H202:H207)</f>
        <v>0.24286111111111111</v>
      </c>
      <c r="J201" s="469"/>
      <c r="K201" s="470"/>
    </row>
    <row r="202" spans="1:11" ht="31.2">
      <c r="A202" s="149" t="s">
        <v>467</v>
      </c>
      <c r="B202" s="150">
        <v>0</v>
      </c>
      <c r="C202" s="151">
        <f t="shared" ref="C202:C207" si="60">SUM(B202:B202)</f>
        <v>0</v>
      </c>
      <c r="D202" s="153" t="s">
        <v>98</v>
      </c>
      <c r="E202" s="153" t="s">
        <v>98</v>
      </c>
      <c r="F202" s="153" t="s">
        <v>98</v>
      </c>
      <c r="G202" s="153" t="s">
        <v>98</v>
      </c>
      <c r="H202" s="153" t="s">
        <v>98</v>
      </c>
      <c r="I202" s="468"/>
      <c r="J202" s="469"/>
      <c r="K202" s="470"/>
    </row>
    <row r="203" spans="1:11" ht="15.6">
      <c r="A203" s="149" t="s">
        <v>468</v>
      </c>
      <c r="B203" s="150">
        <v>1311.45</v>
      </c>
      <c r="C203" s="151">
        <f t="shared" si="60"/>
        <v>1311.45</v>
      </c>
      <c r="D203" s="153">
        <v>5400</v>
      </c>
      <c r="E203" s="176">
        <f>1/D203</f>
        <v>1.8518518518518518E-4</v>
      </c>
      <c r="F203" s="153" t="s">
        <v>98</v>
      </c>
      <c r="G203" s="153" t="s">
        <v>98</v>
      </c>
      <c r="H203" s="165">
        <f>E203*C203</f>
        <v>0.24286111111111111</v>
      </c>
      <c r="I203" s="468"/>
      <c r="J203" s="469"/>
      <c r="K203" s="470"/>
    </row>
    <row r="204" spans="1:11" ht="15.6">
      <c r="A204" s="149" t="s">
        <v>469</v>
      </c>
      <c r="B204" s="150">
        <v>0</v>
      </c>
      <c r="C204" s="151">
        <f t="shared" si="60"/>
        <v>0</v>
      </c>
      <c r="D204" s="153" t="s">
        <v>98</v>
      </c>
      <c r="E204" s="153" t="s">
        <v>98</v>
      </c>
      <c r="F204" s="153" t="s">
        <v>98</v>
      </c>
      <c r="G204" s="153" t="s">
        <v>98</v>
      </c>
      <c r="H204" s="153" t="s">
        <v>98</v>
      </c>
      <c r="I204" s="468"/>
      <c r="J204" s="469"/>
      <c r="K204" s="470"/>
    </row>
    <row r="205" spans="1:11" ht="15.6">
      <c r="A205" s="149" t="s">
        <v>470</v>
      </c>
      <c r="B205" s="150">
        <v>0</v>
      </c>
      <c r="C205" s="151">
        <f t="shared" si="60"/>
        <v>0</v>
      </c>
      <c r="D205" s="153" t="s">
        <v>98</v>
      </c>
      <c r="E205" s="153" t="s">
        <v>98</v>
      </c>
      <c r="F205" s="153" t="s">
        <v>98</v>
      </c>
      <c r="G205" s="153" t="s">
        <v>98</v>
      </c>
      <c r="H205" s="153" t="s">
        <v>98</v>
      </c>
      <c r="I205" s="468"/>
      <c r="J205" s="469"/>
      <c r="K205" s="470"/>
    </row>
    <row r="206" spans="1:11" ht="15.6">
      <c r="A206" s="149" t="s">
        <v>471</v>
      </c>
      <c r="B206" s="150">
        <v>0</v>
      </c>
      <c r="C206" s="151">
        <f t="shared" si="60"/>
        <v>0</v>
      </c>
      <c r="D206" s="153" t="s">
        <v>98</v>
      </c>
      <c r="E206" s="153" t="s">
        <v>98</v>
      </c>
      <c r="F206" s="153" t="s">
        <v>98</v>
      </c>
      <c r="G206" s="153" t="s">
        <v>98</v>
      </c>
      <c r="H206" s="153" t="s">
        <v>98</v>
      </c>
      <c r="I206" s="468"/>
      <c r="J206" s="469"/>
      <c r="K206" s="470"/>
    </row>
    <row r="207" spans="1:11" ht="31.2">
      <c r="A207" s="149" t="s">
        <v>472</v>
      </c>
      <c r="B207" s="150">
        <v>0</v>
      </c>
      <c r="C207" s="151">
        <f t="shared" si="60"/>
        <v>0</v>
      </c>
      <c r="D207" s="153" t="s">
        <v>98</v>
      </c>
      <c r="E207" s="153" t="s">
        <v>98</v>
      </c>
      <c r="F207" s="153" t="s">
        <v>98</v>
      </c>
      <c r="G207" s="153" t="s">
        <v>98</v>
      </c>
      <c r="H207" s="153" t="s">
        <v>98</v>
      </c>
      <c r="I207" s="468"/>
      <c r="J207" s="469"/>
      <c r="K207" s="470"/>
    </row>
    <row r="208" spans="1:11" ht="15.6">
      <c r="A208" s="147" t="s">
        <v>439</v>
      </c>
      <c r="B208" s="140">
        <f>SUM(B209:B211)</f>
        <v>251.1</v>
      </c>
      <c r="C208" s="140">
        <f>SUM(C209:C211)</f>
        <v>251.1</v>
      </c>
      <c r="D208" s="141"/>
      <c r="E208" s="141"/>
      <c r="F208" s="142"/>
      <c r="G208" s="142"/>
      <c r="H208" s="144"/>
      <c r="I208" s="468">
        <f>SUM(H209:H211)</f>
        <v>3.4533367866701204E-4</v>
      </c>
      <c r="J208" s="469"/>
      <c r="K208" s="470"/>
    </row>
    <row r="209" spans="1:11" ht="15.6">
      <c r="A209" s="149" t="s">
        <v>440</v>
      </c>
      <c r="B209" s="150">
        <v>0</v>
      </c>
      <c r="C209" s="151">
        <f>SUM(B209:B209)</f>
        <v>0</v>
      </c>
      <c r="D209" s="153" t="s">
        <v>98</v>
      </c>
      <c r="E209" s="154" t="s">
        <v>98</v>
      </c>
      <c r="F209" s="153" t="s">
        <v>98</v>
      </c>
      <c r="G209" s="154" t="s">
        <v>98</v>
      </c>
      <c r="H209" s="154" t="s">
        <v>98</v>
      </c>
      <c r="I209" s="468"/>
      <c r="J209" s="469"/>
      <c r="K209" s="470"/>
    </row>
    <row r="210" spans="1:11" ht="15.6">
      <c r="A210" s="149" t="s">
        <v>473</v>
      </c>
      <c r="B210" s="150">
        <v>0</v>
      </c>
      <c r="C210" s="151">
        <f>SUM(B210:B210)</f>
        <v>0</v>
      </c>
      <c r="D210" s="153" t="s">
        <v>98</v>
      </c>
      <c r="E210" s="154" t="s">
        <v>98</v>
      </c>
      <c r="F210" s="153" t="s">
        <v>98</v>
      </c>
      <c r="G210" s="154" t="s">
        <v>98</v>
      </c>
      <c r="H210" s="154" t="s">
        <v>98</v>
      </c>
      <c r="I210" s="468"/>
      <c r="J210" s="469"/>
      <c r="K210" s="470"/>
    </row>
    <row r="211" spans="1:11" ht="15.6">
      <c r="A211" s="149" t="s">
        <v>474</v>
      </c>
      <c r="B211" s="150">
        <v>251.1</v>
      </c>
      <c r="C211" s="151">
        <f>SUM(B211:B211)</f>
        <v>251.1</v>
      </c>
      <c r="D211" s="152">
        <v>270</v>
      </c>
      <c r="E211" s="154">
        <f>1/D211</f>
        <v>3.7037037037037038E-3</v>
      </c>
      <c r="F211" s="153">
        <v>16</v>
      </c>
      <c r="G211" s="154">
        <f>1/(ROUNDUP(30/7,2)*40)</f>
        <v>5.8275058275058279E-3</v>
      </c>
      <c r="H211" s="154">
        <f>G211*F211*E211</f>
        <v>3.4533367866701204E-4</v>
      </c>
      <c r="I211" s="468"/>
      <c r="J211" s="469"/>
      <c r="K211" s="470"/>
    </row>
    <row r="212" spans="1:11" ht="15.6">
      <c r="A212" s="155" t="s">
        <v>441</v>
      </c>
      <c r="B212" s="140">
        <f>B213</f>
        <v>0</v>
      </c>
      <c r="C212" s="140">
        <f t="shared" ref="C212" si="61">C213</f>
        <v>0</v>
      </c>
      <c r="D212" s="141"/>
      <c r="E212" s="141"/>
      <c r="F212" s="142"/>
      <c r="G212" s="142"/>
      <c r="H212" s="144"/>
      <c r="I212" s="468" t="str">
        <f>H213</f>
        <v>N/A</v>
      </c>
      <c r="J212" s="469"/>
      <c r="K212" s="470"/>
    </row>
    <row r="213" spans="1:11" ht="15.6">
      <c r="A213" s="156" t="s">
        <v>442</v>
      </c>
      <c r="B213" s="150">
        <v>0</v>
      </c>
      <c r="C213" s="151">
        <f>SUM(B213:B213)</f>
        <v>0</v>
      </c>
      <c r="D213" s="153" t="s">
        <v>98</v>
      </c>
      <c r="E213" s="153" t="s">
        <v>98</v>
      </c>
      <c r="F213" s="153" t="s">
        <v>98</v>
      </c>
      <c r="G213" s="154" t="s">
        <v>98</v>
      </c>
      <c r="H213" s="153" t="s">
        <v>98</v>
      </c>
      <c r="I213" s="468"/>
      <c r="J213" s="469"/>
      <c r="K213" s="470"/>
    </row>
    <row r="214" spans="1:11" ht="15.6">
      <c r="A214" s="157" t="s">
        <v>475</v>
      </c>
      <c r="B214" s="140">
        <f>SUM(B192,B201,B208,B212)</f>
        <v>3075.9</v>
      </c>
      <c r="C214" s="140">
        <f>C192+C201+C208+C212</f>
        <v>3075.9</v>
      </c>
      <c r="D214" s="152"/>
      <c r="E214" s="152"/>
      <c r="F214" s="153"/>
      <c r="G214" s="153"/>
      <c r="H214" s="150"/>
      <c r="I214" s="145"/>
      <c r="J214" s="145"/>
      <c r="K214" s="148"/>
    </row>
  </sheetData>
  <mergeCells count="75">
    <mergeCell ref="A1:L1"/>
    <mergeCell ref="A3:L3"/>
    <mergeCell ref="A4:L4"/>
    <mergeCell ref="I192:I200"/>
    <mergeCell ref="J192:J213"/>
    <mergeCell ref="K192:K213"/>
    <mergeCell ref="I201:I207"/>
    <mergeCell ref="I208:I211"/>
    <mergeCell ref="I212:I213"/>
    <mergeCell ref="A164:A165"/>
    <mergeCell ref="E164:L164"/>
    <mergeCell ref="J175:J181"/>
    <mergeCell ref="J182:J185"/>
    <mergeCell ref="A190:A191"/>
    <mergeCell ref="D190:K190"/>
    <mergeCell ref="L166:L187"/>
    <mergeCell ref="D85:K85"/>
    <mergeCell ref="I87:I95"/>
    <mergeCell ref="J87:J108"/>
    <mergeCell ref="K87:K108"/>
    <mergeCell ref="I96:I102"/>
    <mergeCell ref="I103:I106"/>
    <mergeCell ref="I107:I108"/>
    <mergeCell ref="I61:I69"/>
    <mergeCell ref="J61:J82"/>
    <mergeCell ref="K61:K82"/>
    <mergeCell ref="I70:I76"/>
    <mergeCell ref="I77:I80"/>
    <mergeCell ref="I81:I82"/>
    <mergeCell ref="D59:K59"/>
    <mergeCell ref="A33:A34"/>
    <mergeCell ref="D33:K33"/>
    <mergeCell ref="I35:I43"/>
    <mergeCell ref="J166:J174"/>
    <mergeCell ref="K166:K187"/>
    <mergeCell ref="A85:A86"/>
    <mergeCell ref="A138:A139"/>
    <mergeCell ref="D138:K138"/>
    <mergeCell ref="J140:J161"/>
    <mergeCell ref="K140:K161"/>
    <mergeCell ref="I156:I159"/>
    <mergeCell ref="I160:I161"/>
    <mergeCell ref="I140:I148"/>
    <mergeCell ref="I149:I155"/>
    <mergeCell ref="B138:C138"/>
    <mergeCell ref="K9:K30"/>
    <mergeCell ref="L9:L30"/>
    <mergeCell ref="J18:J24"/>
    <mergeCell ref="J25:J28"/>
    <mergeCell ref="J29:J30"/>
    <mergeCell ref="B7:D7"/>
    <mergeCell ref="B33:C33"/>
    <mergeCell ref="A111:A112"/>
    <mergeCell ref="D111:K111"/>
    <mergeCell ref="B85:C85"/>
    <mergeCell ref="B59:C59"/>
    <mergeCell ref="B111:C111"/>
    <mergeCell ref="J35:J56"/>
    <mergeCell ref="K35:K56"/>
    <mergeCell ref="I44:I50"/>
    <mergeCell ref="I51:I54"/>
    <mergeCell ref="I55:I56"/>
    <mergeCell ref="E7:L7"/>
    <mergeCell ref="A7:A8"/>
    <mergeCell ref="A59:A60"/>
    <mergeCell ref="J9:J17"/>
    <mergeCell ref="B190:C190"/>
    <mergeCell ref="I113:I121"/>
    <mergeCell ref="J113:J134"/>
    <mergeCell ref="K113:K134"/>
    <mergeCell ref="I122:I128"/>
    <mergeCell ref="I129:I132"/>
    <mergeCell ref="I133:I134"/>
    <mergeCell ref="J186:J187"/>
    <mergeCell ref="B164:D164"/>
  </mergeCells>
  <conditionalFormatting sqref="A9:A31 D9:D31 A163:E163 A189:E189 A215:E216">
    <cfRule type="expression" dxfId="24" priority="41">
      <formula>A9&lt;&gt;#REF!</formula>
    </cfRule>
  </conditionalFormatting>
  <conditionalFormatting sqref="A35:C57">
    <cfRule type="expression" dxfId="23" priority="8">
      <formula>A35&lt;&gt;#REF!</formula>
    </cfRule>
  </conditionalFormatting>
  <conditionalFormatting sqref="A61:C83">
    <cfRule type="expression" dxfId="22" priority="7">
      <formula>A61&lt;&gt;#REF!</formula>
    </cfRule>
  </conditionalFormatting>
  <conditionalFormatting sqref="A87:C109">
    <cfRule type="expression" dxfId="21" priority="6">
      <formula>A87&lt;&gt;#REF!</formula>
    </cfRule>
  </conditionalFormatting>
  <conditionalFormatting sqref="A113:C135">
    <cfRule type="expression" dxfId="20" priority="5">
      <formula>A113&lt;&gt;#REF!</formula>
    </cfRule>
  </conditionalFormatting>
  <conditionalFormatting sqref="A140:C162">
    <cfRule type="expression" dxfId="19" priority="4">
      <formula>A140&lt;&gt;#REF!</formula>
    </cfRule>
  </conditionalFormatting>
  <conditionalFormatting sqref="A192:C214">
    <cfRule type="expression" dxfId="18" priority="1">
      <formula>A192&lt;&gt;#REF!</formula>
    </cfRule>
  </conditionalFormatting>
  <conditionalFormatting sqref="A166:D188">
    <cfRule type="expression" dxfId="17" priority="2">
      <formula>A166&lt;&gt;#REF!</formula>
    </cfRule>
  </conditionalFormatting>
  <conditionalFormatting sqref="A32:K32 A58:K58">
    <cfRule type="expression" dxfId="16" priority="58">
      <formula>A32&lt;&gt;#REF!</formula>
    </cfRule>
  </conditionalFormatting>
  <conditionalFormatting sqref="B34 B112">
    <cfRule type="expression" dxfId="15" priority="24">
      <formula>B34&lt;&gt;#REF!</formula>
    </cfRule>
  </conditionalFormatting>
  <conditionalFormatting sqref="B60">
    <cfRule type="expression" dxfId="14" priority="28">
      <formula>B60&lt;&gt;#REF!</formula>
    </cfRule>
  </conditionalFormatting>
  <conditionalFormatting sqref="B86">
    <cfRule type="expression" dxfId="13" priority="25">
      <formula>B86&lt;&gt;#REF!</formula>
    </cfRule>
  </conditionalFormatting>
  <conditionalFormatting sqref="B139">
    <cfRule type="expression" dxfId="12" priority="22">
      <formula>B139&lt;&gt;#REF!</formula>
    </cfRule>
  </conditionalFormatting>
  <conditionalFormatting sqref="B191">
    <cfRule type="expression" dxfId="11" priority="16">
      <formula>B191&lt;&gt;#REF!</formula>
    </cfRule>
  </conditionalFormatting>
  <conditionalFormatting sqref="B8:C31">
    <cfRule type="expression" dxfId="10" priority="10">
      <formula>B8&lt;&gt;#REF!</formula>
    </cfRule>
  </conditionalFormatting>
  <conditionalFormatting sqref="B165:C165">
    <cfRule type="expression" dxfId="9" priority="19">
      <formula>B165&lt;&gt;#REF!</formula>
    </cfRule>
  </conditionalFormatting>
  <printOptions horizontalCentered="1"/>
  <pageMargins left="0.118110236220472" right="0.118110236220472" top="0.39370078740157499" bottom="0.39370078740157499" header="0.31496062992126" footer="0.31496062992126"/>
  <pageSetup paperSize="3" scale="91" fitToHeight="0" orientation="landscape" r:id="rId1"/>
  <headerFooter>
    <oddFooter>&amp;C&amp;A
&amp;P de &amp;N</oddFooter>
  </headerFooter>
  <rowBreaks count="7" manualBreakCount="7">
    <brk id="32" max="16383" man="1"/>
    <brk id="58" max="16383" man="1"/>
    <brk id="84" max="16383" man="1"/>
    <brk id="110" max="16383" man="1"/>
    <brk id="137" max="16383" man="1"/>
    <brk id="163" max="16383" man="1"/>
    <brk id="189" max="16383" man="1"/>
  </rowBreaks>
  <ignoredErrors>
    <ignoredError sqref="D29 D25 D18 C156" formula="1"/>
  </ignoredError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BEA00-CE88-4D10-BD09-69B8E50EB8E9}">
  <sheetPr>
    <pageSetUpPr fitToPage="1"/>
  </sheetPr>
  <dimension ref="A1:IZ212"/>
  <sheetViews>
    <sheetView showGridLines="0" view="pageBreakPreview" zoomScale="80" zoomScaleNormal="70" zoomScaleSheetLayoutView="80" workbookViewId="0">
      <selection activeCell="A42" sqref="A42:B42"/>
    </sheetView>
  </sheetViews>
  <sheetFormatPr defaultColWidth="9.109375" defaultRowHeight="14.4"/>
  <cols>
    <col min="1" max="1" width="57.44140625" style="131" customWidth="1"/>
    <col min="2" max="2" width="15.44140625" style="131" customWidth="1"/>
    <col min="3" max="3" width="15" style="131" customWidth="1"/>
    <col min="4" max="4" width="23.109375" style="131" bestFit="1" customWidth="1"/>
    <col min="5" max="5" width="32" style="131" customWidth="1"/>
    <col min="6" max="6" width="25" style="213" customWidth="1"/>
    <col min="7" max="7" width="20.44140625" style="203" customWidth="1"/>
    <col min="8" max="8" width="18.88671875" style="208" customWidth="1"/>
    <col min="9" max="9" width="25" style="131" customWidth="1"/>
    <col min="10" max="10" width="21.44140625" style="131" customWidth="1"/>
    <col min="11" max="11" width="16.44140625" style="132" customWidth="1"/>
    <col min="12" max="12" width="14.5546875" style="133" customWidth="1"/>
    <col min="13" max="13" width="11.109375" style="135" customWidth="1"/>
    <col min="14" max="260" width="9.109375" style="136"/>
    <col min="261" max="16384" width="9.109375" style="139"/>
  </cols>
  <sheetData>
    <row r="1" spans="1:260" ht="15.6">
      <c r="A1" s="320" t="s">
        <v>10</v>
      </c>
      <c r="B1" s="320"/>
      <c r="C1" s="320"/>
      <c r="D1" s="320"/>
      <c r="E1" s="320"/>
      <c r="F1" s="320"/>
      <c r="G1" s="320"/>
      <c r="H1" s="320"/>
      <c r="I1" s="320"/>
      <c r="J1" s="320"/>
      <c r="K1" s="135"/>
      <c r="L1" s="136"/>
      <c r="M1" s="136"/>
      <c r="IY1" s="139"/>
      <c r="IZ1" s="139"/>
    </row>
    <row r="2" spans="1:260">
      <c r="A2" s="139"/>
      <c r="B2" s="139"/>
      <c r="C2" s="139"/>
      <c r="D2" s="139"/>
      <c r="E2" s="139"/>
      <c r="F2" s="212"/>
      <c r="G2" s="202"/>
      <c r="H2" s="207"/>
      <c r="I2" s="139"/>
      <c r="J2" s="139"/>
      <c r="K2" s="139"/>
      <c r="L2" s="139"/>
    </row>
    <row r="3" spans="1:260" ht="15.6">
      <c r="A3" s="321" t="str">
        <f>PROPOSTA_GLOBAL!A4</f>
        <v>SUPERINTENDÊNCIA REGIONAL DA POLÍCIA FEDERAL NO PARANÁ</v>
      </c>
      <c r="B3" s="321"/>
      <c r="C3" s="321"/>
      <c r="D3" s="321"/>
      <c r="E3" s="321"/>
      <c r="F3" s="321"/>
      <c r="G3" s="321"/>
      <c r="H3" s="321"/>
      <c r="I3" s="321"/>
      <c r="J3" s="321"/>
      <c r="K3" s="235"/>
      <c r="L3" s="235"/>
    </row>
    <row r="4" spans="1:260" s="136" customFormat="1" ht="15.6">
      <c r="A4" s="321" t="str">
        <f>PROPOSTA_GLOBAL!A5</f>
        <v>PROCESSO ADMINISTRATIVO SEI Nº 08385.000837/2025-50</v>
      </c>
      <c r="B4" s="321"/>
      <c r="C4" s="321"/>
      <c r="D4" s="321"/>
      <c r="E4" s="321"/>
      <c r="F4" s="321"/>
      <c r="G4" s="321"/>
      <c r="H4" s="321"/>
      <c r="I4" s="321"/>
      <c r="J4" s="321"/>
      <c r="K4" s="235"/>
      <c r="L4" s="235"/>
      <c r="M4" s="135"/>
    </row>
    <row r="5" spans="1:260" s="136" customFormat="1" ht="12">
      <c r="A5" s="131"/>
      <c r="B5" s="131"/>
      <c r="C5" s="131"/>
      <c r="D5" s="131"/>
      <c r="E5" s="131"/>
      <c r="F5" s="213"/>
      <c r="G5" s="203"/>
      <c r="H5" s="208"/>
      <c r="I5" s="131"/>
      <c r="J5" s="131"/>
      <c r="K5" s="132"/>
      <c r="L5" s="133"/>
      <c r="M5" s="135"/>
    </row>
    <row r="6" spans="1:260" s="136" customFormat="1" ht="15.75" customHeight="1">
      <c r="A6" s="478" t="str">
        <f>PRODUTIVIDADE!A7</f>
        <v>CURITIBA (SEI 32940231)</v>
      </c>
      <c r="B6" s="478" t="s">
        <v>444</v>
      </c>
      <c r="C6" s="478"/>
      <c r="D6" s="478"/>
      <c r="E6" s="474" t="s">
        <v>488</v>
      </c>
      <c r="F6" s="475" t="s">
        <v>489</v>
      </c>
      <c r="G6" s="476" t="s">
        <v>490</v>
      </c>
      <c r="H6" s="477" t="s">
        <v>491</v>
      </c>
      <c r="I6" s="477" t="s">
        <v>492</v>
      </c>
      <c r="J6" s="477" t="s">
        <v>493</v>
      </c>
    </row>
    <row r="7" spans="1:260" s="136" customFormat="1" ht="46.8">
      <c r="A7" s="478"/>
      <c r="B7" s="146" t="s">
        <v>446</v>
      </c>
      <c r="C7" s="146" t="s">
        <v>447</v>
      </c>
      <c r="D7" s="142" t="s">
        <v>448</v>
      </c>
      <c r="E7" s="474"/>
      <c r="F7" s="475"/>
      <c r="G7" s="476"/>
      <c r="H7" s="477"/>
      <c r="I7" s="477"/>
      <c r="J7" s="477"/>
    </row>
    <row r="8" spans="1:260" s="138" customFormat="1" ht="15.6">
      <c r="A8" s="147" t="s">
        <v>457</v>
      </c>
      <c r="B8" s="140">
        <f>PRODUTIVIDADE!B9</f>
        <v>16476.96</v>
      </c>
      <c r="C8" s="140">
        <f>PRODUTIVIDADE!C9</f>
        <v>39</v>
      </c>
      <c r="D8" s="140">
        <f>PRODUTIVIDADE!D9</f>
        <v>16515.96</v>
      </c>
      <c r="E8" s="474"/>
      <c r="F8" s="475"/>
      <c r="G8" s="476"/>
      <c r="H8" s="477"/>
      <c r="I8" s="477"/>
      <c r="J8" s="477"/>
    </row>
    <row r="9" spans="1:260" s="136" customFormat="1" ht="15" customHeight="1">
      <c r="A9" s="149" t="s">
        <v>458</v>
      </c>
      <c r="B9" s="150">
        <f>PRODUTIVIDADE!B10</f>
        <v>5056.29</v>
      </c>
      <c r="C9" s="150">
        <f>PRODUTIVIDADE!C10</f>
        <v>0</v>
      </c>
      <c r="D9" s="151">
        <f>PRODUTIVIDADE!D10</f>
        <v>5056.29</v>
      </c>
      <c r="E9" s="201">
        <f>PROPOSTA_GLOBAL!$K$17/PRODUTIVIDADE!$K$9*PRODUTIVIDADE!$I10</f>
        <v>20779.198112690989</v>
      </c>
      <c r="F9" s="215">
        <f>E9/D9</f>
        <v>4.1095740380181889</v>
      </c>
      <c r="G9" s="205">
        <f>PROPOSTA_GLOBAL!$K$20/'DEM_CUSTO_M2 (serv+enc)'!$D$30*'DEM_CUSTO_M2 (serv+enc)'!D9</f>
        <v>1011.1047025564179</v>
      </c>
      <c r="H9" s="210">
        <f>G9/D9</f>
        <v>0.19996968183320535</v>
      </c>
      <c r="I9" s="210">
        <f>G9+E9</f>
        <v>21790.302815247407</v>
      </c>
      <c r="J9" s="210">
        <f>H9+F9</f>
        <v>4.3095437198513942</v>
      </c>
    </row>
    <row r="10" spans="1:260" s="136" customFormat="1" ht="15" customHeight="1">
      <c r="A10" s="149" t="s">
        <v>459</v>
      </c>
      <c r="B10" s="150">
        <f>PRODUTIVIDADE!B11</f>
        <v>7492.62</v>
      </c>
      <c r="C10" s="150">
        <f>PRODUTIVIDADE!C11</f>
        <v>24</v>
      </c>
      <c r="D10" s="151">
        <f>PRODUTIVIDADE!D11</f>
        <v>7516.62</v>
      </c>
      <c r="E10" s="201">
        <f>PROPOSTA_GLOBAL!$K$17/PRODUTIVIDADE!$K$9*PRODUTIVIDADE!$I11</f>
        <v>30890.106405648279</v>
      </c>
      <c r="F10" s="215">
        <f t="shared" ref="F10:F16" si="0">E10/D10</f>
        <v>4.1095740380181889</v>
      </c>
      <c r="G10" s="205">
        <f>PROPOSTA_GLOBAL!$K$20/'DEM_CUSTO_M2 (serv+enc)'!$D$30*'DEM_CUSTO_M2 (serv+enc)'!D10</f>
        <v>1503.0961098611081</v>
      </c>
      <c r="H10" s="210">
        <f t="shared" ref="H10:H27" si="1">G10/D10</f>
        <v>0.19996968183320535</v>
      </c>
      <c r="I10" s="210">
        <f t="shared" ref="I10:I22" si="2">G10+E10</f>
        <v>32393.202515509387</v>
      </c>
      <c r="J10" s="210">
        <f t="shared" ref="J10:J22" si="3">H10+F10</f>
        <v>4.3095437198513942</v>
      </c>
    </row>
    <row r="11" spans="1:260" s="136" customFormat="1" ht="15" customHeight="1">
      <c r="A11" s="149" t="s">
        <v>460</v>
      </c>
      <c r="B11" s="150">
        <f>PRODUTIVIDADE!B12</f>
        <v>305.26</v>
      </c>
      <c r="C11" s="150">
        <f>PRODUTIVIDADE!C12</f>
        <v>0</v>
      </c>
      <c r="D11" s="151">
        <f>PRODUTIVIDADE!D12</f>
        <v>305.26</v>
      </c>
      <c r="E11" s="201">
        <f>PROPOSTA_GLOBAL!$K$17/PRODUTIVIDADE!$K$9*PRODUTIVIDADE!$I12</f>
        <v>3345.30285558782</v>
      </c>
      <c r="F11" s="215">
        <f t="shared" si="0"/>
        <v>10.958864101381838</v>
      </c>
      <c r="G11" s="205">
        <f>PROPOSTA_GLOBAL!$K$20/'DEM_CUSTO_M2 (serv+enc)'!$D$30*'DEM_CUSTO_M2 (serv+enc)'!D11</f>
        <v>61.042745076404266</v>
      </c>
      <c r="H11" s="210">
        <f t="shared" si="1"/>
        <v>0.19996968183320535</v>
      </c>
      <c r="I11" s="210">
        <f t="shared" si="2"/>
        <v>3406.3456006642241</v>
      </c>
      <c r="J11" s="210">
        <f t="shared" si="3"/>
        <v>11.158833783215044</v>
      </c>
    </row>
    <row r="12" spans="1:260" s="136" customFormat="1" ht="15" customHeight="1">
      <c r="A12" s="149" t="s">
        <v>461</v>
      </c>
      <c r="B12" s="150">
        <f>PRODUTIVIDADE!B13</f>
        <v>0</v>
      </c>
      <c r="C12" s="150">
        <f>PRODUTIVIDADE!C13</f>
        <v>10</v>
      </c>
      <c r="D12" s="151">
        <f>PRODUTIVIDADE!D13</f>
        <v>10</v>
      </c>
      <c r="E12" s="201">
        <f>PROPOSTA_GLOBAL!$K$17/PRODUTIVIDADE!$K$9*PRODUTIVIDADE!$I13</f>
        <v>18.786624173797438</v>
      </c>
      <c r="F12" s="215">
        <f t="shared" si="0"/>
        <v>1.8786624173797439</v>
      </c>
      <c r="G12" s="205">
        <f>PROPOSTA_GLOBAL!$K$20/'DEM_CUSTO_M2 (serv+enc)'!$D$30*'DEM_CUSTO_M2 (serv+enc)'!D12</f>
        <v>1.9996968183320534</v>
      </c>
      <c r="H12" s="210">
        <f t="shared" si="1"/>
        <v>0.19996968183320535</v>
      </c>
      <c r="I12" s="210">
        <f t="shared" si="2"/>
        <v>20.786320992129493</v>
      </c>
      <c r="J12" s="210">
        <f t="shared" si="3"/>
        <v>2.0786320992129492</v>
      </c>
    </row>
    <row r="13" spans="1:260" s="136" customFormat="1" ht="15" customHeight="1">
      <c r="A13" s="149" t="s">
        <v>462</v>
      </c>
      <c r="B13" s="150">
        <f>PRODUTIVIDADE!B14</f>
        <v>0</v>
      </c>
      <c r="C13" s="150">
        <f>PRODUTIVIDADE!C14</f>
        <v>0</v>
      </c>
      <c r="D13" s="151">
        <f>PRODUTIVIDADE!D14</f>
        <v>0</v>
      </c>
      <c r="E13" s="201" t="s">
        <v>98</v>
      </c>
      <c r="F13" s="215" t="s">
        <v>98</v>
      </c>
      <c r="G13" s="205" t="s">
        <v>98</v>
      </c>
      <c r="H13" s="210" t="s">
        <v>98</v>
      </c>
      <c r="I13" s="210" t="s">
        <v>98</v>
      </c>
      <c r="J13" s="210" t="s">
        <v>98</v>
      </c>
    </row>
    <row r="14" spans="1:260" s="136" customFormat="1" ht="15" customHeight="1">
      <c r="A14" s="149" t="s">
        <v>463</v>
      </c>
      <c r="B14" s="150">
        <f>PRODUTIVIDADE!B15</f>
        <v>0</v>
      </c>
      <c r="C14" s="150">
        <f>PRODUTIVIDADE!C15</f>
        <v>0</v>
      </c>
      <c r="D14" s="151">
        <f>PRODUTIVIDADE!D15</f>
        <v>0</v>
      </c>
      <c r="E14" s="201" t="s">
        <v>98</v>
      </c>
      <c r="F14" s="215" t="s">
        <v>98</v>
      </c>
      <c r="G14" s="205" t="s">
        <v>98</v>
      </c>
      <c r="H14" s="210" t="s">
        <v>98</v>
      </c>
      <c r="I14" s="210" t="s">
        <v>98</v>
      </c>
      <c r="J14" s="210" t="s">
        <v>98</v>
      </c>
    </row>
    <row r="15" spans="1:260" s="136" customFormat="1" ht="15" customHeight="1">
      <c r="A15" s="149" t="s">
        <v>464</v>
      </c>
      <c r="B15" s="150">
        <f>PRODUTIVIDADE!B16</f>
        <v>3144.51</v>
      </c>
      <c r="C15" s="150">
        <f>PRODUTIVIDADE!C16</f>
        <v>0</v>
      </c>
      <c r="D15" s="151">
        <f>PRODUTIVIDADE!D16</f>
        <v>3144.51</v>
      </c>
      <c r="E15" s="201">
        <f>PROPOSTA_GLOBAL!$K$17/PRODUTIVIDADE!$K$9*PRODUTIVIDADE!$I16</f>
        <v>9398.2521151189649</v>
      </c>
      <c r="F15" s="215">
        <f t="shared" si="0"/>
        <v>2.9887811185586828</v>
      </c>
      <c r="G15" s="205">
        <f>PROPOSTA_GLOBAL!$K$20/'DEM_CUSTO_M2 (serv+enc)'!$D$30*'DEM_CUSTO_M2 (serv+enc)'!D15</f>
        <v>628.80666422133254</v>
      </c>
      <c r="H15" s="210">
        <f t="shared" si="1"/>
        <v>0.19996968183320532</v>
      </c>
      <c r="I15" s="210">
        <f t="shared" si="2"/>
        <v>10027.058779340297</v>
      </c>
      <c r="J15" s="210">
        <f t="shared" si="3"/>
        <v>3.1887508003918881</v>
      </c>
    </row>
    <row r="16" spans="1:260" s="136" customFormat="1" ht="15" customHeight="1">
      <c r="A16" s="149" t="s">
        <v>465</v>
      </c>
      <c r="B16" s="150">
        <f>PRODUTIVIDADE!B17</f>
        <v>478.28</v>
      </c>
      <c r="C16" s="150">
        <f>PRODUTIVIDADE!C17</f>
        <v>5</v>
      </c>
      <c r="D16" s="151">
        <f>PRODUTIVIDADE!D17</f>
        <v>483.28</v>
      </c>
      <c r="E16" s="201">
        <f>PROPOSTA_GLOBAL!$K$17/PRODUTIVIDADE!$K$9*PRODUTIVIDADE!$I17</f>
        <v>8147.999758332021</v>
      </c>
      <c r="F16" s="215">
        <f t="shared" si="0"/>
        <v>16.859790925202827</v>
      </c>
      <c r="G16" s="205">
        <f>PROPOSTA_GLOBAL!$K$20/'DEM_CUSTO_M2 (serv+enc)'!$D$30*'DEM_CUSTO_M2 (serv+enc)'!D16</f>
        <v>96.641347836351471</v>
      </c>
      <c r="H16" s="210">
        <f t="shared" si="1"/>
        <v>0.19996968183320535</v>
      </c>
      <c r="I16" s="210">
        <f t="shared" si="2"/>
        <v>8244.6411061683721</v>
      </c>
      <c r="J16" s="210">
        <f t="shared" si="3"/>
        <v>17.059760607036033</v>
      </c>
    </row>
    <row r="17" spans="1:13" s="136" customFormat="1" ht="15.6">
      <c r="A17" s="147" t="s">
        <v>466</v>
      </c>
      <c r="B17" s="140">
        <f>PRODUTIVIDADE!B18</f>
        <v>12280.839999999998</v>
      </c>
      <c r="C17" s="140">
        <f>PRODUTIVIDADE!C18</f>
        <v>9406</v>
      </c>
      <c r="D17" s="140">
        <f>PRODUTIVIDADE!D18</f>
        <v>21686.84</v>
      </c>
      <c r="E17" s="218"/>
      <c r="F17" s="214"/>
      <c r="G17" s="204"/>
      <c r="H17" s="209"/>
      <c r="I17" s="209"/>
      <c r="J17" s="209"/>
    </row>
    <row r="18" spans="1:13" s="136" customFormat="1" ht="15" customHeight="1">
      <c r="A18" s="149" t="s">
        <v>467</v>
      </c>
      <c r="B18" s="150">
        <f>PRODUTIVIDADE!B19</f>
        <v>1174.32</v>
      </c>
      <c r="C18" s="150">
        <f>PRODUTIVIDADE!C19</f>
        <v>0</v>
      </c>
      <c r="D18" s="151">
        <f>PRODUTIVIDADE!D19</f>
        <v>1174.32</v>
      </c>
      <c r="E18" s="201">
        <f>PROPOSTA_GLOBAL!$K$17/PRODUTIVIDADE!$K$9*PRODUTIVIDADE!$I19</f>
        <v>2199.8655199204645</v>
      </c>
      <c r="F18" s="215">
        <f>E18/D18</f>
        <v>1.8733101028003138</v>
      </c>
      <c r="G18" s="205">
        <f>PROPOSTA_GLOBAL!$K$20/'DEM_CUSTO_M2 (serv+enc)'!$D$30*'DEM_CUSTO_M2 (serv+enc)'!D18</f>
        <v>234.82839677036969</v>
      </c>
      <c r="H18" s="210">
        <f t="shared" si="1"/>
        <v>0.19996968183320535</v>
      </c>
      <c r="I18" s="210">
        <f t="shared" si="2"/>
        <v>2434.6939166908342</v>
      </c>
      <c r="J18" s="210">
        <f t="shared" si="3"/>
        <v>2.0732797846335194</v>
      </c>
    </row>
    <row r="19" spans="1:13" s="136" customFormat="1" ht="15" customHeight="1">
      <c r="A19" s="149" t="s">
        <v>468</v>
      </c>
      <c r="B19" s="150">
        <f>PRODUTIVIDADE!B20</f>
        <v>1080.57</v>
      </c>
      <c r="C19" s="150">
        <f>PRODUTIVIDADE!C20</f>
        <v>0</v>
      </c>
      <c r="D19" s="151">
        <f>PRODUTIVIDADE!D20</f>
        <v>1080.57</v>
      </c>
      <c r="E19" s="201">
        <f>PROPOSTA_GLOBAL!$K$17/PRODUTIVIDADE!$K$9*PRODUTIVIDADE!$I20</f>
        <v>607.27280933488055</v>
      </c>
      <c r="F19" s="215">
        <f t="shared" ref="F19:F22" si="4">E19/D19</f>
        <v>0.56199303084009422</v>
      </c>
      <c r="G19" s="205">
        <f>PROPOSTA_GLOBAL!$K$20/'DEM_CUSTO_M2 (serv+enc)'!$D$30*'DEM_CUSTO_M2 (serv+enc)'!D19</f>
        <v>216.0812390985067</v>
      </c>
      <c r="H19" s="210">
        <f t="shared" si="1"/>
        <v>0.19996968183320535</v>
      </c>
      <c r="I19" s="210">
        <f t="shared" si="2"/>
        <v>823.35404843338722</v>
      </c>
      <c r="J19" s="210">
        <f t="shared" si="3"/>
        <v>0.76196271267329951</v>
      </c>
    </row>
    <row r="20" spans="1:13" s="136" customFormat="1" ht="15" customHeight="1">
      <c r="A20" s="149" t="s">
        <v>469</v>
      </c>
      <c r="B20" s="150">
        <f>PRODUTIVIDADE!B21</f>
        <v>76.23</v>
      </c>
      <c r="C20" s="150">
        <f>PRODUTIVIDADE!C21</f>
        <v>0</v>
      </c>
      <c r="D20" s="151">
        <f>PRODUTIVIDADE!D21</f>
        <v>76.23</v>
      </c>
      <c r="E20" s="201">
        <f>PROPOSTA_GLOBAL!$K$17/PRODUTIVIDADE!$K$9*PRODUTIVIDADE!$I21</f>
        <v>142.80242913646794</v>
      </c>
      <c r="F20" s="215">
        <f t="shared" si="4"/>
        <v>1.8733101028003138</v>
      </c>
      <c r="G20" s="205">
        <f>PROPOSTA_GLOBAL!$K$20/'DEM_CUSTO_M2 (serv+enc)'!$D$30*'DEM_CUSTO_M2 (serv+enc)'!D20</f>
        <v>15.243688846145245</v>
      </c>
      <c r="H20" s="210">
        <f t="shared" si="1"/>
        <v>0.19996968183320535</v>
      </c>
      <c r="I20" s="210">
        <f t="shared" si="2"/>
        <v>158.04611798261317</v>
      </c>
      <c r="J20" s="210">
        <f t="shared" si="3"/>
        <v>2.0732797846335194</v>
      </c>
    </row>
    <row r="21" spans="1:13" s="136" customFormat="1" ht="15" customHeight="1">
      <c r="A21" s="149" t="s">
        <v>470</v>
      </c>
      <c r="B21" s="150">
        <f>PRODUTIVIDADE!B22</f>
        <v>7275.07</v>
      </c>
      <c r="C21" s="150">
        <f>PRODUTIVIDADE!C22</f>
        <v>9406</v>
      </c>
      <c r="D21" s="151">
        <f>PRODUTIVIDADE!D22</f>
        <v>16681.07</v>
      </c>
      <c r="E21" s="201">
        <f>PROPOSTA_GLOBAL!$K$17/PRODUTIVIDADE!$K$9*PRODUTIVIDADE!$I22</f>
        <v>31248.816956519229</v>
      </c>
      <c r="F21" s="215">
        <f t="shared" si="4"/>
        <v>1.8733101028003138</v>
      </c>
      <c r="G21" s="205">
        <f>PROPOSTA_GLOBAL!$K$20/'DEM_CUSTO_M2 (serv+enc)'!$D$30*'DEM_CUSTO_M2 (serv+enc)'!D21</f>
        <v>3335.7082605374267</v>
      </c>
      <c r="H21" s="210">
        <f t="shared" si="1"/>
        <v>0.19996968183320535</v>
      </c>
      <c r="I21" s="210">
        <f t="shared" si="2"/>
        <v>34584.525217056653</v>
      </c>
      <c r="J21" s="210">
        <f t="shared" si="3"/>
        <v>2.0732797846335194</v>
      </c>
    </row>
    <row r="22" spans="1:13" s="136" customFormat="1" ht="15" customHeight="1">
      <c r="A22" s="149" t="s">
        <v>471</v>
      </c>
      <c r="B22" s="150">
        <f>PRODUTIVIDADE!B23</f>
        <v>2674.65</v>
      </c>
      <c r="C22" s="150">
        <f>PRODUTIVIDADE!C23</f>
        <v>0</v>
      </c>
      <c r="D22" s="151">
        <f>PRODUTIVIDADE!D23</f>
        <v>2674.65</v>
      </c>
      <c r="E22" s="201">
        <f>PROPOSTA_GLOBAL!$K$17/PRODUTIVIDADE!$K$9*PRODUTIVIDADE!$I23</f>
        <v>5010.4488664548599</v>
      </c>
      <c r="F22" s="215">
        <f t="shared" si="4"/>
        <v>1.8733101028003138</v>
      </c>
      <c r="G22" s="205">
        <f>PROPOSTA_GLOBAL!$K$20/'DEM_CUSTO_M2 (serv+enc)'!$D$30*'DEM_CUSTO_M2 (serv+enc)'!D22</f>
        <v>534.84890951518275</v>
      </c>
      <c r="H22" s="210">
        <f t="shared" si="1"/>
        <v>0.19996968183320538</v>
      </c>
      <c r="I22" s="210">
        <f t="shared" si="2"/>
        <v>5545.2977759700425</v>
      </c>
      <c r="J22" s="210">
        <f t="shared" si="3"/>
        <v>2.0732797846335194</v>
      </c>
    </row>
    <row r="23" spans="1:13" s="136" customFormat="1" ht="15" customHeight="1">
      <c r="A23" s="149" t="s">
        <v>472</v>
      </c>
      <c r="B23" s="150">
        <f>PRODUTIVIDADE!B24</f>
        <v>0</v>
      </c>
      <c r="C23" s="150">
        <f>PRODUTIVIDADE!C24</f>
        <v>0</v>
      </c>
      <c r="D23" s="151">
        <f>PRODUTIVIDADE!D24</f>
        <v>0</v>
      </c>
      <c r="E23" s="201" t="s">
        <v>98</v>
      </c>
      <c r="F23" s="215" t="s">
        <v>98</v>
      </c>
      <c r="G23" s="205" t="s">
        <v>98</v>
      </c>
      <c r="H23" s="210" t="s">
        <v>98</v>
      </c>
      <c r="I23" s="210" t="s">
        <v>98</v>
      </c>
      <c r="J23" s="210" t="s">
        <v>98</v>
      </c>
    </row>
    <row r="24" spans="1:13" s="136" customFormat="1" ht="15.6">
      <c r="A24" s="147" t="s">
        <v>439</v>
      </c>
      <c r="B24" s="140">
        <f>PRODUTIVIDADE!B25</f>
        <v>2037.1000000000001</v>
      </c>
      <c r="C24" s="140">
        <f>PRODUTIVIDADE!C25</f>
        <v>0</v>
      </c>
      <c r="D24" s="140">
        <f>PRODUTIVIDADE!D25</f>
        <v>2037.1000000000001</v>
      </c>
      <c r="E24" s="218"/>
      <c r="F24" s="214"/>
      <c r="G24" s="204"/>
      <c r="H24" s="209"/>
      <c r="I24" s="209"/>
      <c r="J24" s="209"/>
    </row>
    <row r="25" spans="1:13" s="136" customFormat="1" ht="15" customHeight="1">
      <c r="A25" s="149" t="s">
        <v>440</v>
      </c>
      <c r="B25" s="150">
        <v>0</v>
      </c>
      <c r="C25" s="150">
        <f>PRODUTIVIDADE!C26</f>
        <v>0</v>
      </c>
      <c r="D25" s="151">
        <f>PRODUTIVIDADE!D26</f>
        <v>0</v>
      </c>
      <c r="E25" s="201" t="s">
        <v>98</v>
      </c>
      <c r="F25" s="215" t="s">
        <v>98</v>
      </c>
      <c r="G25" s="205" t="s">
        <v>98</v>
      </c>
      <c r="H25" s="210" t="s">
        <v>98</v>
      </c>
      <c r="I25" s="210" t="s">
        <v>98</v>
      </c>
      <c r="J25" s="210" t="s">
        <v>98</v>
      </c>
    </row>
    <row r="26" spans="1:13" s="136" customFormat="1" ht="15" customHeight="1">
      <c r="A26" s="149" t="s">
        <v>473</v>
      </c>
      <c r="B26" s="150">
        <f>PRODUTIVIDADE!B27</f>
        <v>509.42</v>
      </c>
      <c r="C26" s="150">
        <f>PRODUTIVIDADE!C27</f>
        <v>0</v>
      </c>
      <c r="D26" s="151">
        <f>PRODUTIVIDADE!D27</f>
        <v>509.42</v>
      </c>
      <c r="E26" s="201">
        <f>PROPOSTA_GLOBAL!$K$17/PRODUTIVIDADE!$K$9*PRODUTIVIDADE!$I27</f>
        <v>0.29877354111647753</v>
      </c>
      <c r="F26" s="215">
        <f t="shared" ref="F26:F27" si="5">E26/D26</f>
        <v>5.8649746990003832E-4</v>
      </c>
      <c r="G26" s="205">
        <f>PROPOSTA_GLOBAL!$K$20/'DEM_CUSTO_M2 (serv+enc)'!$D$30*'DEM_CUSTO_M2 (serv+enc)'!D26</f>
        <v>101.86855531947147</v>
      </c>
      <c r="H26" s="210">
        <f t="shared" si="1"/>
        <v>0.19996968183320535</v>
      </c>
      <c r="I26" s="210">
        <f t="shared" ref="I26:J27" si="6">G26+E26</f>
        <v>102.16732886058794</v>
      </c>
      <c r="J26" s="210">
        <f>H26+F26</f>
        <v>0.20055617930310538</v>
      </c>
    </row>
    <row r="27" spans="1:13" s="136" customFormat="1" ht="15" customHeight="1">
      <c r="A27" s="149" t="s">
        <v>474</v>
      </c>
      <c r="B27" s="150">
        <f>PRODUTIVIDADE!B28</f>
        <v>1527.68</v>
      </c>
      <c r="C27" s="150">
        <f>PRODUTIVIDADE!C28</f>
        <v>0</v>
      </c>
      <c r="D27" s="151">
        <f>PRODUTIVIDADE!D28</f>
        <v>1527.68</v>
      </c>
      <c r="E27" s="201">
        <f>PROPOSTA_GLOBAL!$K$17/PRODUTIVIDADE!$K$9*PRODUTIVIDADE!$I28</f>
        <v>0.29877354111647753</v>
      </c>
      <c r="F27" s="215">
        <f t="shared" si="5"/>
        <v>1.9557337997255808E-4</v>
      </c>
      <c r="G27" s="205">
        <f>PROPOSTA_GLOBAL!$K$20/'DEM_CUSTO_M2 (serv+enc)'!$D$30*'DEM_CUSTO_M2 (serv+enc)'!D27</f>
        <v>305.48968354295118</v>
      </c>
      <c r="H27" s="210">
        <f t="shared" si="1"/>
        <v>0.19996968183320538</v>
      </c>
      <c r="I27" s="210">
        <f t="shared" si="6"/>
        <v>305.78845708406766</v>
      </c>
      <c r="J27" s="210">
        <f t="shared" si="6"/>
        <v>0.20016525521317793</v>
      </c>
    </row>
    <row r="28" spans="1:13" s="136" customFormat="1" ht="15.6">
      <c r="A28" s="155" t="s">
        <v>441</v>
      </c>
      <c r="B28" s="140">
        <v>0</v>
      </c>
      <c r="C28" s="140">
        <f>PRODUTIVIDADE!C29</f>
        <v>0</v>
      </c>
      <c r="D28" s="140">
        <f>PRODUTIVIDADE!D29</f>
        <v>0</v>
      </c>
      <c r="E28" s="218"/>
      <c r="F28" s="214"/>
      <c r="G28" s="204"/>
      <c r="H28" s="209"/>
      <c r="I28" s="209"/>
      <c r="J28" s="209"/>
    </row>
    <row r="29" spans="1:13" s="136" customFormat="1" ht="15" customHeight="1">
      <c r="A29" s="156" t="s">
        <v>442</v>
      </c>
      <c r="B29" s="150">
        <v>0</v>
      </c>
      <c r="C29" s="150">
        <f>PRODUTIVIDADE!C30</f>
        <v>0</v>
      </c>
      <c r="D29" s="151">
        <f>PRODUTIVIDADE!D30</f>
        <v>0</v>
      </c>
      <c r="E29" s="201" t="s">
        <v>98</v>
      </c>
      <c r="F29" s="215" t="s">
        <v>98</v>
      </c>
      <c r="G29" s="205" t="s">
        <v>98</v>
      </c>
      <c r="H29" s="210" t="s">
        <v>98</v>
      </c>
      <c r="I29" s="210" t="s">
        <v>98</v>
      </c>
      <c r="J29" s="210" t="s">
        <v>98</v>
      </c>
    </row>
    <row r="30" spans="1:13" s="136" customFormat="1" ht="15.6">
      <c r="A30" s="157" t="s">
        <v>475</v>
      </c>
      <c r="B30" s="140">
        <f>PRODUTIVIDADE!B31</f>
        <v>30794.899999999994</v>
      </c>
      <c r="C30" s="140">
        <f>PRODUTIVIDADE!C31</f>
        <v>9445</v>
      </c>
      <c r="D30" s="140">
        <f>PRODUTIVIDADE!D31</f>
        <v>40239.9</v>
      </c>
      <c r="E30" s="219">
        <f>SUM(E9:E29)</f>
        <v>111789.45000000001</v>
      </c>
      <c r="F30" s="215"/>
      <c r="G30" s="205">
        <f>SUM(G9:G29)</f>
        <v>8046.76</v>
      </c>
      <c r="H30" s="210"/>
      <c r="I30" s="210">
        <f>SUM(I9:I29)</f>
        <v>119836.21</v>
      </c>
      <c r="J30" s="210"/>
    </row>
    <row r="31" spans="1:13" s="136" customFormat="1" ht="12" customHeight="1">
      <c r="A31" s="131"/>
      <c r="F31" s="216"/>
      <c r="G31" s="206"/>
      <c r="H31" s="211"/>
      <c r="L31" s="133"/>
      <c r="M31" s="137"/>
    </row>
    <row r="32" spans="1:13" s="136" customFormat="1" ht="15.6">
      <c r="A32" s="478" t="str">
        <f>PRODUTIVIDADE!A33</f>
        <v>CURITIBA GISE (SEI 32712455)</v>
      </c>
      <c r="B32" s="478"/>
      <c r="C32" s="466" t="s">
        <v>444</v>
      </c>
      <c r="D32" s="467"/>
      <c r="E32" s="474" t="s">
        <v>494</v>
      </c>
      <c r="F32" s="475" t="s">
        <v>495</v>
      </c>
    </row>
    <row r="33" spans="1:6" s="136" customFormat="1" ht="15.6">
      <c r="A33" s="478"/>
      <c r="B33" s="478"/>
      <c r="C33" s="179" t="s">
        <v>477</v>
      </c>
      <c r="D33" s="142" t="s">
        <v>448</v>
      </c>
      <c r="E33" s="474"/>
      <c r="F33" s="475"/>
    </row>
    <row r="34" spans="1:6" s="136" customFormat="1" ht="15.6">
      <c r="A34" s="479" t="s">
        <v>457</v>
      </c>
      <c r="B34" s="479"/>
      <c r="C34" s="140">
        <f>PRODUTIVIDADE!B35</f>
        <v>550</v>
      </c>
      <c r="D34" s="140">
        <f>PRODUTIVIDADE!C35</f>
        <v>550</v>
      </c>
      <c r="E34" s="474"/>
      <c r="F34" s="475"/>
    </row>
    <row r="35" spans="1:6" s="136" customFormat="1" ht="15.6">
      <c r="A35" s="480" t="s">
        <v>458</v>
      </c>
      <c r="B35" s="480"/>
      <c r="C35" s="150">
        <f>PRODUTIVIDADE!B36</f>
        <v>0</v>
      </c>
      <c r="D35" s="151">
        <f>PRODUTIVIDADE!C36</f>
        <v>0</v>
      </c>
      <c r="E35" s="215" t="s">
        <v>98</v>
      </c>
      <c r="F35" s="215" t="s">
        <v>98</v>
      </c>
    </row>
    <row r="36" spans="1:6" s="136" customFormat="1" ht="15.6">
      <c r="A36" s="480" t="s">
        <v>459</v>
      </c>
      <c r="B36" s="480"/>
      <c r="C36" s="150">
        <f>PRODUTIVIDADE!B37</f>
        <v>526.62</v>
      </c>
      <c r="D36" s="151">
        <f>PRODUTIVIDADE!C37</f>
        <v>526.62</v>
      </c>
      <c r="E36" s="201">
        <f>PROPOSTA_GLOBAL!$K$18/PRODUTIVIDADE!$J$35*PRODUTIVIDADE!$H37</f>
        <v>5592.6860464594474</v>
      </c>
      <c r="F36" s="215">
        <f>E36/D36</f>
        <v>10.619965148417165</v>
      </c>
    </row>
    <row r="37" spans="1:6" s="136" customFormat="1" ht="15.6">
      <c r="A37" s="480" t="s">
        <v>460</v>
      </c>
      <c r="B37" s="480"/>
      <c r="C37" s="150">
        <f>PRODUTIVIDADE!B38</f>
        <v>0</v>
      </c>
      <c r="D37" s="151">
        <f>PRODUTIVIDADE!C38</f>
        <v>0</v>
      </c>
      <c r="E37" s="215" t="s">
        <v>98</v>
      </c>
      <c r="F37" s="215" t="s">
        <v>98</v>
      </c>
    </row>
    <row r="38" spans="1:6" s="136" customFormat="1" ht="15.6">
      <c r="A38" s="480" t="s">
        <v>461</v>
      </c>
      <c r="B38" s="480"/>
      <c r="C38" s="150">
        <f>PRODUTIVIDADE!B39</f>
        <v>0</v>
      </c>
      <c r="D38" s="151">
        <f>PRODUTIVIDADE!C39</f>
        <v>0</v>
      </c>
      <c r="E38" s="215" t="s">
        <v>98</v>
      </c>
      <c r="F38" s="215" t="s">
        <v>98</v>
      </c>
    </row>
    <row r="39" spans="1:6" s="136" customFormat="1" ht="15.6">
      <c r="A39" s="480" t="s">
        <v>462</v>
      </c>
      <c r="B39" s="480"/>
      <c r="C39" s="150">
        <f>PRODUTIVIDADE!B40</f>
        <v>0</v>
      </c>
      <c r="D39" s="151">
        <f>PRODUTIVIDADE!C40</f>
        <v>0</v>
      </c>
      <c r="E39" s="215" t="s">
        <v>98</v>
      </c>
      <c r="F39" s="215" t="s">
        <v>98</v>
      </c>
    </row>
    <row r="40" spans="1:6" s="136" customFormat="1" ht="15.6">
      <c r="A40" s="480" t="s">
        <v>463</v>
      </c>
      <c r="B40" s="480"/>
      <c r="C40" s="150">
        <f>PRODUTIVIDADE!B41</f>
        <v>0</v>
      </c>
      <c r="D40" s="151">
        <f>PRODUTIVIDADE!C41</f>
        <v>0</v>
      </c>
      <c r="E40" s="215" t="s">
        <v>98</v>
      </c>
      <c r="F40" s="215" t="s">
        <v>98</v>
      </c>
    </row>
    <row r="41" spans="1:6" s="136" customFormat="1" ht="15.6">
      <c r="A41" s="480" t="s">
        <v>464</v>
      </c>
      <c r="B41" s="480"/>
      <c r="C41" s="150">
        <f>PRODUTIVIDADE!B42</f>
        <v>0</v>
      </c>
      <c r="D41" s="151">
        <f>PRODUTIVIDADE!C42</f>
        <v>0</v>
      </c>
      <c r="E41" s="215" t="s">
        <v>98</v>
      </c>
      <c r="F41" s="215" t="s">
        <v>98</v>
      </c>
    </row>
    <row r="42" spans="1:6" s="136" customFormat="1" ht="15.6">
      <c r="A42" s="480" t="s">
        <v>465</v>
      </c>
      <c r="B42" s="480"/>
      <c r="C42" s="150">
        <f>PRODUTIVIDADE!B43</f>
        <v>23.38</v>
      </c>
      <c r="D42" s="151">
        <f>PRODUTIVIDADE!C43</f>
        <v>23.38</v>
      </c>
      <c r="E42" s="201">
        <f>PROPOSTA_GLOBAL!$K$18/PRODUTIVIDADE!$J$35*PRODUTIVIDADE!$H43</f>
        <v>834.5463612658109</v>
      </c>
      <c r="F42" s="215">
        <f>E42/D42</f>
        <v>35.694882859957694</v>
      </c>
    </row>
    <row r="43" spans="1:6" s="136" customFormat="1" ht="15.6">
      <c r="A43" s="479" t="s">
        <v>466</v>
      </c>
      <c r="B43" s="479"/>
      <c r="C43" s="140">
        <f>PRODUTIVIDADE!B44</f>
        <v>0</v>
      </c>
      <c r="D43" s="140">
        <f>PRODUTIVIDADE!C44</f>
        <v>0</v>
      </c>
      <c r="E43" s="218"/>
      <c r="F43" s="214"/>
    </row>
    <row r="44" spans="1:6" s="136" customFormat="1" ht="20.25" customHeight="1">
      <c r="A44" s="480" t="s">
        <v>467</v>
      </c>
      <c r="B44" s="480"/>
      <c r="C44" s="150">
        <f>PRODUTIVIDADE!B45</f>
        <v>0</v>
      </c>
      <c r="D44" s="151">
        <f>PRODUTIVIDADE!C45</f>
        <v>0</v>
      </c>
      <c r="E44" s="201" t="s">
        <v>98</v>
      </c>
      <c r="F44" s="201" t="s">
        <v>98</v>
      </c>
    </row>
    <row r="45" spans="1:6" s="136" customFormat="1" ht="15.6">
      <c r="A45" s="480" t="s">
        <v>468</v>
      </c>
      <c r="B45" s="480"/>
      <c r="C45" s="150">
        <f>PRODUTIVIDADE!B46</f>
        <v>0</v>
      </c>
      <c r="D45" s="151">
        <f>PRODUTIVIDADE!C46</f>
        <v>0</v>
      </c>
      <c r="E45" s="201" t="s">
        <v>98</v>
      </c>
      <c r="F45" s="201" t="s">
        <v>98</v>
      </c>
    </row>
    <row r="46" spans="1:6" s="136" customFormat="1" ht="15.6">
      <c r="A46" s="480" t="s">
        <v>469</v>
      </c>
      <c r="B46" s="480"/>
      <c r="C46" s="150">
        <f>PRODUTIVIDADE!B47</f>
        <v>0</v>
      </c>
      <c r="D46" s="151">
        <f>PRODUTIVIDADE!C47</f>
        <v>0</v>
      </c>
      <c r="E46" s="201" t="s">
        <v>98</v>
      </c>
      <c r="F46" s="201" t="s">
        <v>98</v>
      </c>
    </row>
    <row r="47" spans="1:6" s="136" customFormat="1" ht="15.6">
      <c r="A47" s="480" t="s">
        <v>470</v>
      </c>
      <c r="B47" s="480"/>
      <c r="C47" s="150">
        <f>PRODUTIVIDADE!B48</f>
        <v>0</v>
      </c>
      <c r="D47" s="151">
        <f>PRODUTIVIDADE!C48</f>
        <v>0</v>
      </c>
      <c r="E47" s="201" t="s">
        <v>98</v>
      </c>
      <c r="F47" s="201" t="s">
        <v>98</v>
      </c>
    </row>
    <row r="48" spans="1:6" s="136" customFormat="1" ht="15.6">
      <c r="A48" s="480" t="s">
        <v>471</v>
      </c>
      <c r="B48" s="480"/>
      <c r="C48" s="150">
        <f>PRODUTIVIDADE!B49</f>
        <v>0</v>
      </c>
      <c r="D48" s="151">
        <f>PRODUTIVIDADE!C49</f>
        <v>0</v>
      </c>
      <c r="E48" s="201" t="s">
        <v>98</v>
      </c>
      <c r="F48" s="201" t="s">
        <v>98</v>
      </c>
    </row>
    <row r="49" spans="1:13" s="136" customFormat="1" ht="15.6">
      <c r="A49" s="480" t="s">
        <v>472</v>
      </c>
      <c r="B49" s="480"/>
      <c r="C49" s="150">
        <f>PRODUTIVIDADE!B50</f>
        <v>0</v>
      </c>
      <c r="D49" s="151">
        <f>PRODUTIVIDADE!C50</f>
        <v>0</v>
      </c>
      <c r="E49" s="201" t="s">
        <v>98</v>
      </c>
      <c r="F49" s="201" t="s">
        <v>98</v>
      </c>
    </row>
    <row r="50" spans="1:13" s="136" customFormat="1" ht="15.6">
      <c r="A50" s="479" t="s">
        <v>439</v>
      </c>
      <c r="B50" s="479"/>
      <c r="C50" s="140">
        <f>PRODUTIVIDADE!B51</f>
        <v>140</v>
      </c>
      <c r="D50" s="140">
        <f>PRODUTIVIDADE!C51</f>
        <v>140</v>
      </c>
      <c r="E50" s="218"/>
      <c r="F50" s="214"/>
    </row>
    <row r="51" spans="1:13" s="136" customFormat="1" ht="15.6">
      <c r="A51" s="480" t="s">
        <v>440</v>
      </c>
      <c r="B51" s="480"/>
      <c r="C51" s="150">
        <f>PRODUTIVIDADE!B52</f>
        <v>0</v>
      </c>
      <c r="D51" s="151">
        <f>PRODUTIVIDADE!C52</f>
        <v>0</v>
      </c>
      <c r="E51" s="205" t="s">
        <v>98</v>
      </c>
      <c r="F51" s="205" t="s">
        <v>98</v>
      </c>
    </row>
    <row r="52" spans="1:13" s="136" customFormat="1" ht="15.6">
      <c r="A52" s="480" t="s">
        <v>473</v>
      </c>
      <c r="B52" s="480"/>
      <c r="C52" s="150">
        <f>PRODUTIVIDADE!B53</f>
        <v>70</v>
      </c>
      <c r="D52" s="151">
        <f>PRODUTIVIDADE!C53</f>
        <v>70</v>
      </c>
      <c r="E52" s="201">
        <f>PROPOSTA_GLOBAL!$K$18/PRODUTIVIDADE!$J$35*PRODUTIVIDADE!H53</f>
        <v>2.218796137371108</v>
      </c>
      <c r="F52" s="215">
        <f>E52/D52</f>
        <v>3.1697087676730115E-2</v>
      </c>
    </row>
    <row r="53" spans="1:13" s="136" customFormat="1" ht="15.6">
      <c r="A53" s="480" t="s">
        <v>474</v>
      </c>
      <c r="B53" s="480"/>
      <c r="C53" s="150">
        <f>PRODUTIVIDADE!B54</f>
        <v>70</v>
      </c>
      <c r="D53" s="151">
        <f>PRODUTIVIDADE!C54</f>
        <v>70</v>
      </c>
      <c r="E53" s="201">
        <f>PROPOSTA_GLOBAL!$K$18/PRODUTIVIDADE!$J$35*PRODUTIVIDADE!H54</f>
        <v>2.218796137371108</v>
      </c>
      <c r="F53" s="215">
        <f>E53/D53</f>
        <v>3.1697087676730115E-2</v>
      </c>
    </row>
    <row r="54" spans="1:13" s="136" customFormat="1" ht="15.6">
      <c r="A54" s="479" t="s">
        <v>441</v>
      </c>
      <c r="B54" s="479"/>
      <c r="C54" s="140">
        <f>PRODUTIVIDADE!B55</f>
        <v>0</v>
      </c>
      <c r="D54" s="140">
        <f>PRODUTIVIDADE!C55</f>
        <v>0</v>
      </c>
      <c r="E54" s="218"/>
      <c r="F54" s="214"/>
    </row>
    <row r="55" spans="1:13" s="136" customFormat="1" ht="15.6">
      <c r="A55" s="480" t="s">
        <v>442</v>
      </c>
      <c r="B55" s="480"/>
      <c r="C55" s="150">
        <f>PRODUTIVIDADE!B56</f>
        <v>0</v>
      </c>
      <c r="D55" s="151">
        <f>PRODUTIVIDADE!C56</f>
        <v>0</v>
      </c>
      <c r="E55" s="205" t="s">
        <v>98</v>
      </c>
      <c r="F55" s="205" t="s">
        <v>98</v>
      </c>
    </row>
    <row r="56" spans="1:13" s="136" customFormat="1" ht="15.6">
      <c r="A56" s="479" t="s">
        <v>475</v>
      </c>
      <c r="B56" s="479"/>
      <c r="C56" s="140">
        <f>PRODUTIVIDADE!B57</f>
        <v>690</v>
      </c>
      <c r="D56" s="140">
        <f>PRODUTIVIDADE!C57</f>
        <v>690</v>
      </c>
      <c r="E56" s="201">
        <f>SUM(E35:E55)</f>
        <v>6431.67</v>
      </c>
      <c r="F56" s="215"/>
    </row>
    <row r="57" spans="1:13" s="136" customFormat="1" ht="18" customHeight="1">
      <c r="A57" s="131"/>
      <c r="F57" s="216"/>
      <c r="G57" s="206"/>
      <c r="H57" s="211"/>
      <c r="L57" s="133"/>
      <c r="M57" s="137"/>
    </row>
    <row r="58" spans="1:13" s="136" customFormat="1" ht="24.9" customHeight="1">
      <c r="A58" s="478" t="str">
        <f>PRODUTIVIDADE!A59</f>
        <v>GUARAPUAVA (SEI 32766267)</v>
      </c>
      <c r="B58" s="478"/>
      <c r="C58" s="466" t="s">
        <v>444</v>
      </c>
      <c r="D58" s="467"/>
      <c r="E58" s="474" t="s">
        <v>494</v>
      </c>
      <c r="F58" s="475" t="s">
        <v>495</v>
      </c>
    </row>
    <row r="59" spans="1:13" s="136" customFormat="1" ht="15.6">
      <c r="A59" s="478"/>
      <c r="B59" s="478"/>
      <c r="C59" s="146" t="s">
        <v>481</v>
      </c>
      <c r="D59" s="142" t="s">
        <v>448</v>
      </c>
      <c r="E59" s="474"/>
      <c r="F59" s="475"/>
    </row>
    <row r="60" spans="1:13" s="136" customFormat="1" ht="15.6">
      <c r="A60" s="479" t="s">
        <v>457</v>
      </c>
      <c r="B60" s="479"/>
      <c r="C60" s="140">
        <f>PRODUTIVIDADE!B61</f>
        <v>1780</v>
      </c>
      <c r="D60" s="140">
        <f>PRODUTIVIDADE!C61</f>
        <v>1780</v>
      </c>
      <c r="E60" s="474"/>
      <c r="F60" s="475"/>
    </row>
    <row r="61" spans="1:13" s="136" customFormat="1" ht="15.6">
      <c r="A61" s="480" t="s">
        <v>458</v>
      </c>
      <c r="B61" s="480"/>
      <c r="C61" s="150">
        <f>PRODUTIVIDADE!B62</f>
        <v>0</v>
      </c>
      <c r="D61" s="151">
        <f>PRODUTIVIDADE!C62</f>
        <v>0</v>
      </c>
      <c r="E61" s="215" t="str">
        <f>IF(D61=0,"N/A",((PROPOSTA_GLOBAL!$K$21+PROPOSTA_GLOBAL!$K$22)/PRODUTIVIDADE!$J$61)*PRODUTIVIDADE!H62)</f>
        <v>N/A</v>
      </c>
      <c r="F61" s="215" t="str">
        <f t="shared" ref="F61:F68" si="7">IF(D61=0,"N/A",E61/D61)</f>
        <v>N/A</v>
      </c>
    </row>
    <row r="62" spans="1:13" s="136" customFormat="1" ht="15.6">
      <c r="A62" s="480" t="s">
        <v>459</v>
      </c>
      <c r="B62" s="480"/>
      <c r="C62" s="150">
        <f>PRODUTIVIDADE!B63</f>
        <v>1338.7</v>
      </c>
      <c r="D62" s="151">
        <f>PRODUTIVIDADE!C63</f>
        <v>1338.7</v>
      </c>
      <c r="E62" s="215">
        <f>IF(D62=0,"N/A",((PROPOSTA_GLOBAL!$K$21+PROPOSTA_GLOBAL!$K$22)/PRODUTIVIDADE!$J$61)*PRODUTIVIDADE!H63)</f>
        <v>7901.3556450837477</v>
      </c>
      <c r="F62" s="215">
        <f t="shared" si="7"/>
        <v>5.902260136762342</v>
      </c>
    </row>
    <row r="63" spans="1:13" s="136" customFormat="1" ht="15.6">
      <c r="A63" s="480" t="s">
        <v>460</v>
      </c>
      <c r="B63" s="480"/>
      <c r="C63" s="150">
        <f>PRODUTIVIDADE!B64</f>
        <v>0</v>
      </c>
      <c r="D63" s="151">
        <f>PRODUTIVIDADE!C64</f>
        <v>0</v>
      </c>
      <c r="E63" s="215" t="str">
        <f>IF(D63=0,"N/A",((PROPOSTA_GLOBAL!$K$21+PROPOSTA_GLOBAL!$K$22)/PRODUTIVIDADE!$J$61)*PRODUTIVIDADE!H64)</f>
        <v>N/A</v>
      </c>
      <c r="F63" s="215" t="str">
        <f t="shared" si="7"/>
        <v>N/A</v>
      </c>
    </row>
    <row r="64" spans="1:13" s="136" customFormat="1" ht="15.6">
      <c r="A64" s="480" t="s">
        <v>461</v>
      </c>
      <c r="B64" s="480"/>
      <c r="C64" s="150">
        <f>PRODUTIVIDADE!B65</f>
        <v>0</v>
      </c>
      <c r="D64" s="151">
        <f>PRODUTIVIDADE!C65</f>
        <v>0</v>
      </c>
      <c r="E64" s="215" t="str">
        <f>IF(D64=0,"N/A",((PROPOSTA_GLOBAL!$K$21+PROPOSTA_GLOBAL!$K$22)/PRODUTIVIDADE!$J$61)*PRODUTIVIDADE!H65)</f>
        <v>N/A</v>
      </c>
      <c r="F64" s="215" t="str">
        <f t="shared" si="7"/>
        <v>N/A</v>
      </c>
    </row>
    <row r="65" spans="1:6" ht="15.6">
      <c r="A65" s="480" t="s">
        <v>462</v>
      </c>
      <c r="B65" s="480"/>
      <c r="C65" s="150">
        <f>PRODUTIVIDADE!B66</f>
        <v>0</v>
      </c>
      <c r="D65" s="151">
        <f>PRODUTIVIDADE!C66</f>
        <v>0</v>
      </c>
      <c r="E65" s="215" t="str">
        <f>IF(D65=0,"N/A",((PROPOSTA_GLOBAL!$K$21+PROPOSTA_GLOBAL!$K$22)/PRODUTIVIDADE!$J$61)*PRODUTIVIDADE!H66)</f>
        <v>N/A</v>
      </c>
      <c r="F65" s="215" t="str">
        <f t="shared" si="7"/>
        <v>N/A</v>
      </c>
    </row>
    <row r="66" spans="1:6" ht="15.6">
      <c r="A66" s="480" t="s">
        <v>463</v>
      </c>
      <c r="B66" s="480"/>
      <c r="C66" s="150">
        <f>PRODUTIVIDADE!B67</f>
        <v>0</v>
      </c>
      <c r="D66" s="151">
        <f>PRODUTIVIDADE!C67</f>
        <v>0</v>
      </c>
      <c r="E66" s="215" t="str">
        <f>IF(D66=0,"N/A",((PROPOSTA_GLOBAL!$K$21+PROPOSTA_GLOBAL!$K$22)/PRODUTIVIDADE!$J$61)*PRODUTIVIDADE!H67)</f>
        <v>N/A</v>
      </c>
      <c r="F66" s="215" t="str">
        <f t="shared" si="7"/>
        <v>N/A</v>
      </c>
    </row>
    <row r="67" spans="1:6" ht="15.6">
      <c r="A67" s="480" t="s">
        <v>464</v>
      </c>
      <c r="B67" s="480"/>
      <c r="C67" s="150">
        <f>PRODUTIVIDADE!B68</f>
        <v>346.79</v>
      </c>
      <c r="D67" s="151">
        <f>PRODUTIVIDADE!C68</f>
        <v>346.79</v>
      </c>
      <c r="E67" s="215">
        <f>IF(D67=0,"N/A",((PROPOSTA_GLOBAL!$K$21+PROPOSTA_GLOBAL!$K$22)/PRODUTIVIDADE!$J$61)*PRODUTIVIDADE!H68)</f>
        <v>1637.4758342622501</v>
      </c>
      <c r="F67" s="215">
        <f t="shared" si="7"/>
        <v>4.7218081094098734</v>
      </c>
    </row>
    <row r="68" spans="1:6" ht="15.6">
      <c r="A68" s="480" t="s">
        <v>465</v>
      </c>
      <c r="B68" s="480"/>
      <c r="C68" s="150">
        <f>PRODUTIVIDADE!B69</f>
        <v>94.51</v>
      </c>
      <c r="D68" s="151">
        <f>PRODUTIVIDADE!C69</f>
        <v>94.51</v>
      </c>
      <c r="E68" s="215">
        <f>IF(D68=0,"N/A",((PROPOSTA_GLOBAL!$K$21+PROPOSTA_GLOBAL!$K$22)/PRODUTIVIDADE!$J$61)*PRODUTIVIDADE!H69)</f>
        <v>2231.2904221016361</v>
      </c>
      <c r="F68" s="215">
        <f t="shared" si="7"/>
        <v>23.609040547049371</v>
      </c>
    </row>
    <row r="69" spans="1:6" ht="15.6">
      <c r="A69" s="479" t="s">
        <v>466</v>
      </c>
      <c r="B69" s="479"/>
      <c r="C69" s="140">
        <f>PRODUTIVIDADE!B70</f>
        <v>10000</v>
      </c>
      <c r="D69" s="140">
        <f>PRODUTIVIDADE!C70</f>
        <v>10000</v>
      </c>
      <c r="E69" s="218"/>
      <c r="F69" s="214"/>
    </row>
    <row r="70" spans="1:6" ht="15.6">
      <c r="A70" s="480" t="s">
        <v>467</v>
      </c>
      <c r="B70" s="480"/>
      <c r="C70" s="150">
        <f>PRODUTIVIDADE!B71</f>
        <v>940.5</v>
      </c>
      <c r="D70" s="151">
        <f>PRODUTIVIDADE!C71</f>
        <v>940.5</v>
      </c>
      <c r="E70" s="215">
        <f>IF(D70=0,"N/A",((PROPOSTA_GLOBAL!$K$21+PROPOSTA_GLOBAL!$K$22)/PRODUTIVIDADE!$J$61)*PRODUTIVIDADE!H71)</f>
        <v>1057.3477444999969</v>
      </c>
      <c r="F70" s="215">
        <f t="shared" ref="F70:F75" si="8">IF(D70=0,"N/A",E70/D70)</f>
        <v>1.1242400260499701</v>
      </c>
    </row>
    <row r="71" spans="1:6" ht="15.6">
      <c r="A71" s="480" t="s">
        <v>468</v>
      </c>
      <c r="B71" s="480"/>
      <c r="C71" s="150">
        <f>PRODUTIVIDADE!B72</f>
        <v>2561.5</v>
      </c>
      <c r="D71" s="151">
        <f>PRODUTIVIDADE!C72</f>
        <v>2561.5</v>
      </c>
      <c r="E71" s="215">
        <f>IF(D71=0,"N/A",((PROPOSTA_GLOBAL!$K$21+PROPOSTA_GLOBAL!$K$22)/PRODUTIVIDADE!$J$61)*PRODUTIVIDADE!H72)</f>
        <v>1209.4911472253393</v>
      </c>
      <c r="F71" s="215">
        <f t="shared" si="8"/>
        <v>0.47218081094098746</v>
      </c>
    </row>
    <row r="72" spans="1:6" ht="15.6">
      <c r="A72" s="480" t="s">
        <v>469</v>
      </c>
      <c r="B72" s="480"/>
      <c r="C72" s="150">
        <f>PRODUTIVIDADE!B73</f>
        <v>2561.5</v>
      </c>
      <c r="D72" s="151">
        <f>PRODUTIVIDADE!C73</f>
        <v>2561.5</v>
      </c>
      <c r="E72" s="215">
        <f>IF(D72=0,"N/A",((PROPOSTA_GLOBAL!$K$21+PROPOSTA_GLOBAL!$K$22)/PRODUTIVIDADE!$J$61)*PRODUTIVIDADE!H73)</f>
        <v>3023.7278680633481</v>
      </c>
      <c r="F72" s="215">
        <f t="shared" si="8"/>
        <v>1.1804520273524686</v>
      </c>
    </row>
    <row r="73" spans="1:6" ht="15.6">
      <c r="A73" s="480" t="s">
        <v>470</v>
      </c>
      <c r="B73" s="480"/>
      <c r="C73" s="150">
        <f>PRODUTIVIDADE!B74</f>
        <v>1872</v>
      </c>
      <c r="D73" s="151">
        <f>PRODUTIVIDADE!C74</f>
        <v>1872</v>
      </c>
      <c r="E73" s="215">
        <f>IF(D73=0,"N/A",((PROPOSTA_GLOBAL!$K$21+PROPOSTA_GLOBAL!$K$22)/PRODUTIVIDADE!$J$61)*PRODUTIVIDADE!H74)</f>
        <v>2004.3593607290891</v>
      </c>
      <c r="F73" s="215">
        <f t="shared" si="8"/>
        <v>1.070704786714257</v>
      </c>
    </row>
    <row r="74" spans="1:6" ht="15.6">
      <c r="A74" s="480" t="s">
        <v>471</v>
      </c>
      <c r="B74" s="480"/>
      <c r="C74" s="150">
        <f>PRODUTIVIDADE!B75</f>
        <v>2064.5</v>
      </c>
      <c r="D74" s="151">
        <f>PRODUTIVIDADE!C75</f>
        <v>2064.5</v>
      </c>
      <c r="E74" s="215">
        <f>IF(D74=0,"N/A",((PROPOSTA_GLOBAL!$K$21+PROPOSTA_GLOBAL!$K$22)/PRODUTIVIDADE!$J$61)*PRODUTIVIDADE!H75)</f>
        <v>2210.4700321715836</v>
      </c>
      <c r="F74" s="215">
        <f t="shared" si="8"/>
        <v>1.070704786714257</v>
      </c>
    </row>
    <row r="75" spans="1:6" ht="15.6">
      <c r="A75" s="480" t="s">
        <v>472</v>
      </c>
      <c r="B75" s="480"/>
      <c r="C75" s="150">
        <f>PRODUTIVIDADE!B76</f>
        <v>0</v>
      </c>
      <c r="D75" s="151">
        <f>PRODUTIVIDADE!C76</f>
        <v>0</v>
      </c>
      <c r="E75" s="215" t="str">
        <f>IF(D75=0,"N/A",((PROPOSTA_GLOBAL!$K$21+PROPOSTA_GLOBAL!$K$22)/PRODUTIVIDADE!$J$61)*PRODUTIVIDADE!H76)</f>
        <v>N/A</v>
      </c>
      <c r="F75" s="215" t="str">
        <f t="shared" si="8"/>
        <v>N/A</v>
      </c>
    </row>
    <row r="76" spans="1:6" ht="15.6">
      <c r="A76" s="479" t="s">
        <v>439</v>
      </c>
      <c r="B76" s="479"/>
      <c r="C76" s="140">
        <f>PRODUTIVIDADE!B77</f>
        <v>299</v>
      </c>
      <c r="D76" s="140">
        <f>PRODUTIVIDADE!C77</f>
        <v>299</v>
      </c>
      <c r="E76" s="218"/>
      <c r="F76" s="214"/>
    </row>
    <row r="77" spans="1:6" ht="15.6">
      <c r="A77" s="480" t="s">
        <v>440</v>
      </c>
      <c r="B77" s="480"/>
      <c r="C77" s="150">
        <f>PRODUTIVIDADE!B78</f>
        <v>0</v>
      </c>
      <c r="D77" s="151">
        <f>PRODUTIVIDADE!C78</f>
        <v>0</v>
      </c>
      <c r="E77" s="215" t="str">
        <f>IF(D77=0,"N/A",((PROPOSTA_GLOBAL!$K$21+PROPOSTA_GLOBAL!$K$22)/PRODUTIVIDADE!$J$61)*PRODUTIVIDADE!H78)</f>
        <v>N/A</v>
      </c>
      <c r="F77" s="215" t="str">
        <f>IF(D77=0,"N/A",E77/D77)</f>
        <v>N/A</v>
      </c>
    </row>
    <row r="78" spans="1:6" ht="15.6">
      <c r="A78" s="480" t="s">
        <v>473</v>
      </c>
      <c r="B78" s="480"/>
      <c r="C78" s="150">
        <f>PRODUTIVIDADE!B79</f>
        <v>149.5</v>
      </c>
      <c r="D78" s="151">
        <f>PRODUTIVIDADE!C79</f>
        <v>149.5</v>
      </c>
      <c r="E78" s="215">
        <f>IF(D78=0,"N/A",((PROPOSTA_GLOBAL!$K$21+PROPOSTA_GLOBAL!$K$22)/PRODUTIVIDADE!$J$61)*PRODUTIVIDADE!H79)</f>
        <v>1.9309729315052853</v>
      </c>
      <c r="F78" s="215">
        <f>IF(D78=0,"N/A",E78/D78)</f>
        <v>1.2916206899700905E-2</v>
      </c>
    </row>
    <row r="79" spans="1:6" ht="15.6">
      <c r="A79" s="480" t="s">
        <v>474</v>
      </c>
      <c r="B79" s="480"/>
      <c r="C79" s="150">
        <f>PRODUTIVIDADE!B80</f>
        <v>149.5</v>
      </c>
      <c r="D79" s="151">
        <f>PRODUTIVIDADE!C80</f>
        <v>149.5</v>
      </c>
      <c r="E79" s="215">
        <f>IF(D79=0,"N/A",((PROPOSTA_GLOBAL!$K$21+PROPOSTA_GLOBAL!$K$22)/PRODUTIVIDADE!$J$61)*PRODUTIVIDADE!H80)</f>
        <v>1.9309729315052853</v>
      </c>
      <c r="F79" s="215">
        <f>IF(D79=0,"N/A",E79/D79)</f>
        <v>1.2916206899700905E-2</v>
      </c>
    </row>
    <row r="80" spans="1:6" ht="15.6">
      <c r="A80" s="479" t="s">
        <v>441</v>
      </c>
      <c r="B80" s="479"/>
      <c r="C80" s="140">
        <f>PRODUTIVIDADE!B81</f>
        <v>0</v>
      </c>
      <c r="D80" s="140">
        <f>PRODUTIVIDADE!C81</f>
        <v>0</v>
      </c>
      <c r="E80" s="218"/>
      <c r="F80" s="214"/>
    </row>
    <row r="81" spans="1:6" ht="15.6">
      <c r="A81" s="480" t="s">
        <v>442</v>
      </c>
      <c r="B81" s="480"/>
      <c r="C81" s="150">
        <f>PRODUTIVIDADE!B82</f>
        <v>0</v>
      </c>
      <c r="D81" s="151">
        <f>PRODUTIVIDADE!C82</f>
        <v>0</v>
      </c>
      <c r="E81" s="215" t="str">
        <f>IF(D81=0,"N/A",((PROPOSTA_GLOBAL!$K$21+PROPOSTA_GLOBAL!$K$22)/PRODUTIVIDADE!$J$61)*PRODUTIVIDADE!H82)</f>
        <v>N/A</v>
      </c>
      <c r="F81" s="215" t="str">
        <f>IF(D81=0,"N/A",E81/D81)</f>
        <v>N/A</v>
      </c>
    </row>
    <row r="82" spans="1:6" ht="15.6">
      <c r="A82" s="479" t="s">
        <v>475</v>
      </c>
      <c r="B82" s="479"/>
      <c r="C82" s="140">
        <f>PRODUTIVIDADE!B83</f>
        <v>12079</v>
      </c>
      <c r="D82" s="140">
        <f>PRODUTIVIDADE!C83</f>
        <v>12079</v>
      </c>
      <c r="E82" s="201">
        <f>SUM(E61:E81)</f>
        <v>21279.38</v>
      </c>
      <c r="F82" s="215"/>
    </row>
    <row r="83" spans="1:6" ht="21" customHeight="1"/>
    <row r="84" spans="1:6" ht="15.6">
      <c r="A84" s="478" t="str">
        <f>PRODUTIVIDADE!A85</f>
        <v>LONDRINA (SEI 32740331 e 39306298)</v>
      </c>
      <c r="B84" s="478"/>
      <c r="C84" s="466" t="s">
        <v>444</v>
      </c>
      <c r="D84" s="467"/>
      <c r="E84" s="474" t="s">
        <v>494</v>
      </c>
      <c r="F84" s="475" t="s">
        <v>495</v>
      </c>
    </row>
    <row r="85" spans="1:6" ht="31.2">
      <c r="A85" s="478"/>
      <c r="B85" s="478"/>
      <c r="C85" s="179" t="s">
        <v>483</v>
      </c>
      <c r="D85" s="142" t="s">
        <v>448</v>
      </c>
      <c r="E85" s="474"/>
      <c r="F85" s="475"/>
    </row>
    <row r="86" spans="1:6" ht="15.6">
      <c r="A86" s="479" t="s">
        <v>457</v>
      </c>
      <c r="B86" s="479"/>
      <c r="C86" s="140">
        <f>PRODUTIVIDADE!B87</f>
        <v>2104.29</v>
      </c>
      <c r="D86" s="140">
        <f>PRODUTIVIDADE!C87</f>
        <v>2104.29</v>
      </c>
      <c r="E86" s="474"/>
      <c r="F86" s="475"/>
    </row>
    <row r="87" spans="1:6" ht="15.6">
      <c r="A87" s="480" t="s">
        <v>458</v>
      </c>
      <c r="B87" s="480"/>
      <c r="C87" s="150">
        <f>PRODUTIVIDADE!B88</f>
        <v>0</v>
      </c>
      <c r="D87" s="151">
        <f>PRODUTIVIDADE!C88</f>
        <v>0</v>
      </c>
      <c r="E87" s="215" t="str">
        <f>IF(D87=0,"N/A",((PROPOSTA_GLOBAL!$K$23+PROPOSTA_GLOBAL!$K$24)/PRODUTIVIDADE!$J$87)*PRODUTIVIDADE!H88)</f>
        <v>N/A</v>
      </c>
      <c r="F87" s="215" t="str">
        <f t="shared" ref="F87:F94" si="9">IF(D87=0,"N/A",E87/D87)</f>
        <v>N/A</v>
      </c>
    </row>
    <row r="88" spans="1:6" ht="15.6">
      <c r="A88" s="480" t="s">
        <v>459</v>
      </c>
      <c r="B88" s="480"/>
      <c r="C88" s="150">
        <f>PRODUTIVIDADE!B89</f>
        <v>1847.88</v>
      </c>
      <c r="D88" s="151">
        <f>PRODUTIVIDADE!C89</f>
        <v>1847.88</v>
      </c>
      <c r="E88" s="215">
        <f>IF(D88=0,"N/A",((PROPOSTA_GLOBAL!$K$23+PROPOSTA_GLOBAL!$K$24)/PRODUTIVIDADE!$J$87)*PRODUTIVIDADE!H89)</f>
        <v>20595.871019331709</v>
      </c>
      <c r="F88" s="215">
        <f t="shared" si="9"/>
        <v>11.145675595456257</v>
      </c>
    </row>
    <row r="89" spans="1:6" ht="15.6">
      <c r="A89" s="480" t="s">
        <v>460</v>
      </c>
      <c r="B89" s="480"/>
      <c r="C89" s="150">
        <f>PRODUTIVIDADE!B90</f>
        <v>41.39</v>
      </c>
      <c r="D89" s="151">
        <f>PRODUTIVIDADE!C90</f>
        <v>41.39</v>
      </c>
      <c r="E89" s="215">
        <f>IF(D89=0,"N/A",((PROPOSTA_GLOBAL!$K$23+PROPOSTA_GLOBAL!$K$24)/PRODUTIVIDADE!$J$87)*PRODUTIVIDADE!H90)</f>
        <v>904.12929224974812</v>
      </c>
      <c r="F89" s="215">
        <f t="shared" si="9"/>
        <v>21.844148157761492</v>
      </c>
    </row>
    <row r="90" spans="1:6" ht="15.6">
      <c r="A90" s="480" t="s">
        <v>461</v>
      </c>
      <c r="B90" s="480"/>
      <c r="C90" s="150">
        <f>PRODUTIVIDADE!B91</f>
        <v>37.78</v>
      </c>
      <c r="D90" s="151">
        <f>PRODUTIVIDADE!C91</f>
        <v>37.78</v>
      </c>
      <c r="E90" s="215">
        <f>IF(D90=0,"N/A",((PROPOSTA_GLOBAL!$K$23+PROPOSTA_GLOBAL!$K$24)/PRODUTIVIDADE!$J$87)*PRODUTIVIDADE!H91)</f>
        <v>198.06526017605501</v>
      </c>
      <c r="F90" s="215">
        <f t="shared" si="9"/>
        <v>5.2425955578627583</v>
      </c>
    </row>
    <row r="91" spans="1:6" ht="15.6">
      <c r="A91" s="480" t="s">
        <v>462</v>
      </c>
      <c r="B91" s="480"/>
      <c r="C91" s="150">
        <f>PRODUTIVIDADE!B92</f>
        <v>0</v>
      </c>
      <c r="D91" s="151">
        <f>PRODUTIVIDADE!C92</f>
        <v>0</v>
      </c>
      <c r="E91" s="215" t="str">
        <f>IF(D91=0,"N/A",((PROPOSTA_GLOBAL!$K$23+PROPOSTA_GLOBAL!$K$24)/PRODUTIVIDADE!$J$87)*PRODUTIVIDADE!H92)</f>
        <v>N/A</v>
      </c>
      <c r="F91" s="215" t="str">
        <f t="shared" si="9"/>
        <v>N/A</v>
      </c>
    </row>
    <row r="92" spans="1:6" ht="15.6">
      <c r="A92" s="480" t="s">
        <v>463</v>
      </c>
      <c r="B92" s="480"/>
      <c r="C92" s="150">
        <f>PRODUTIVIDADE!B93</f>
        <v>0</v>
      </c>
      <c r="D92" s="151">
        <f>PRODUTIVIDADE!C93</f>
        <v>0</v>
      </c>
      <c r="E92" s="215" t="str">
        <f>IF(D92=0,"N/A",((PROPOSTA_GLOBAL!$K$23+PROPOSTA_GLOBAL!$K$24)/PRODUTIVIDADE!$J$87)*PRODUTIVIDADE!H93)</f>
        <v>N/A</v>
      </c>
      <c r="F92" s="215" t="str">
        <f t="shared" si="9"/>
        <v>N/A</v>
      </c>
    </row>
    <row r="93" spans="1:6" ht="15.6">
      <c r="A93" s="480" t="s">
        <v>464</v>
      </c>
      <c r="B93" s="480"/>
      <c r="C93" s="150">
        <f>PRODUTIVIDADE!B94</f>
        <v>107.29</v>
      </c>
      <c r="D93" s="151">
        <f>PRODUTIVIDADE!C94</f>
        <v>107.29</v>
      </c>
      <c r="E93" s="215">
        <f>IF(D93=0,"N/A",((PROPOSTA_GLOBAL!$K$23+PROPOSTA_GLOBAL!$K$24)/PRODUTIVIDADE!$J$87)*PRODUTIVIDADE!H94)</f>
        <v>843.71711610464308</v>
      </c>
      <c r="F93" s="215">
        <f t="shared" si="9"/>
        <v>7.8638933367941375</v>
      </c>
    </row>
    <row r="94" spans="1:6" ht="15.6">
      <c r="A94" s="480" t="s">
        <v>465</v>
      </c>
      <c r="B94" s="480"/>
      <c r="C94" s="150">
        <f>PRODUTIVIDADE!B95</f>
        <v>69.95</v>
      </c>
      <c r="D94" s="151">
        <f>PRODUTIVIDADE!C95</f>
        <v>69.95</v>
      </c>
      <c r="E94" s="215">
        <f>IF(D94=0,"N/A",((PROPOSTA_GLOBAL!$K$23+PROPOSTA_GLOBAL!$K$24)/PRODUTIVIDADE!$J$87)*PRODUTIVIDADE!H95)</f>
        <v>2750.3966945437496</v>
      </c>
      <c r="F94" s="215">
        <f t="shared" si="9"/>
        <v>39.319466683970688</v>
      </c>
    </row>
    <row r="95" spans="1:6" ht="15.6">
      <c r="A95" s="479" t="s">
        <v>466</v>
      </c>
      <c r="B95" s="479"/>
      <c r="C95" s="140">
        <f>PRODUTIVIDADE!B96</f>
        <v>6555.0499999999993</v>
      </c>
      <c r="D95" s="140">
        <f>PRODUTIVIDADE!C96</f>
        <v>6555.0499999999993</v>
      </c>
      <c r="E95" s="218"/>
      <c r="F95" s="214"/>
    </row>
    <row r="96" spans="1:6" ht="15.6">
      <c r="A96" s="480" t="s">
        <v>467</v>
      </c>
      <c r="B96" s="480"/>
      <c r="C96" s="150">
        <f>PRODUTIVIDADE!B97</f>
        <v>363.35</v>
      </c>
      <c r="D96" s="151">
        <f>PRODUTIVIDADE!C97</f>
        <v>363.35</v>
      </c>
      <c r="E96" s="215">
        <f>IF(D96=0,"N/A",((PROPOSTA_GLOBAL!$K$23+PROPOSTA_GLOBAL!$K$24)/PRODUTIVIDADE!$J$87)*PRODUTIVIDADE!H97)</f>
        <v>1587.4142466245278</v>
      </c>
      <c r="F96" s="215">
        <f t="shared" ref="F96:F101" si="10">IF(D96=0,"N/A",E96/D96)</f>
        <v>4.3688296315522983</v>
      </c>
    </row>
    <row r="97" spans="1:6" ht="15.6">
      <c r="A97" s="480" t="s">
        <v>468</v>
      </c>
      <c r="B97" s="480"/>
      <c r="C97" s="150">
        <f>PRODUTIVIDADE!B98</f>
        <v>1561.65</v>
      </c>
      <c r="D97" s="151">
        <f>PRODUTIVIDADE!C98</f>
        <v>1561.65</v>
      </c>
      <c r="E97" s="215">
        <f>IF(D97=0,"N/A",((PROPOSTA_GLOBAL!$K$23+PROPOSTA_GLOBAL!$K$24)/PRODUTIVIDADE!$J$87)*PRODUTIVIDADE!H98)</f>
        <v>2046.774838234094</v>
      </c>
      <c r="F97" s="215">
        <f t="shared" si="10"/>
        <v>1.3106488894656894</v>
      </c>
    </row>
    <row r="98" spans="1:6" ht="15.6">
      <c r="A98" s="480" t="s">
        <v>469</v>
      </c>
      <c r="B98" s="480"/>
      <c r="C98" s="150">
        <f>PRODUTIVIDADE!B99</f>
        <v>582.41999999999996</v>
      </c>
      <c r="D98" s="151">
        <f>PRODUTIVIDADE!C99</f>
        <v>582.41999999999996</v>
      </c>
      <c r="E98" s="215">
        <f>IF(D98=0,"N/A",((PROPOSTA_GLOBAL!$K$23+PROPOSTA_GLOBAL!$K$24)/PRODUTIVIDADE!$J$87)*PRODUTIVIDADE!H99)</f>
        <v>2544.4937540086894</v>
      </c>
      <c r="F98" s="215">
        <f t="shared" si="10"/>
        <v>4.3688296315522983</v>
      </c>
    </row>
    <row r="99" spans="1:6" ht="15.6">
      <c r="A99" s="480" t="s">
        <v>470</v>
      </c>
      <c r="B99" s="480"/>
      <c r="C99" s="150">
        <f>PRODUTIVIDADE!B100</f>
        <v>184.36</v>
      </c>
      <c r="D99" s="151">
        <f>PRODUTIVIDADE!C100</f>
        <v>184.36</v>
      </c>
      <c r="E99" s="215">
        <f>IF(D99=0,"N/A",((PROPOSTA_GLOBAL!$K$23+PROPOSTA_GLOBAL!$K$24)/PRODUTIVIDADE!$J$87)*PRODUTIVIDADE!H100)</f>
        <v>805.43743087298174</v>
      </c>
      <c r="F99" s="215">
        <f t="shared" si="10"/>
        <v>4.3688296315522983</v>
      </c>
    </row>
    <row r="100" spans="1:6" ht="15.6">
      <c r="A100" s="480" t="s">
        <v>471</v>
      </c>
      <c r="B100" s="480"/>
      <c r="C100" s="150">
        <f>PRODUTIVIDADE!B101</f>
        <v>2301.62</v>
      </c>
      <c r="D100" s="151">
        <f>PRODUTIVIDADE!C101</f>
        <v>2301.62</v>
      </c>
      <c r="E100" s="215">
        <f>IF(D100=0,"N/A",((PROPOSTA_GLOBAL!$K$23+PROPOSTA_GLOBAL!$K$24)/PRODUTIVIDADE!$J$87)*PRODUTIVIDADE!H101)</f>
        <v>10055.3856565734</v>
      </c>
      <c r="F100" s="215">
        <f t="shared" si="10"/>
        <v>4.3688296315522983</v>
      </c>
    </row>
    <row r="101" spans="1:6" ht="15.6">
      <c r="A101" s="480" t="s">
        <v>472</v>
      </c>
      <c r="B101" s="480"/>
      <c r="C101" s="150">
        <f>PRODUTIVIDADE!B102</f>
        <v>1561.65</v>
      </c>
      <c r="D101" s="151">
        <f>PRODUTIVIDADE!C102</f>
        <v>1561.65</v>
      </c>
      <c r="E101" s="215">
        <f>IF(D101=0,"N/A",((PROPOSTA_GLOBAL!$K$23+PROPOSTA_GLOBAL!$K$24)/PRODUTIVIDADE!$J$87)*PRODUTIVIDADE!H102)</f>
        <v>122.80649029404566</v>
      </c>
      <c r="F101" s="215">
        <f t="shared" si="10"/>
        <v>7.863893336794138E-2</v>
      </c>
    </row>
    <row r="102" spans="1:6" ht="15.6">
      <c r="A102" s="479" t="s">
        <v>439</v>
      </c>
      <c r="B102" s="479"/>
      <c r="C102" s="140">
        <f>PRODUTIVIDADE!B103</f>
        <v>872.46</v>
      </c>
      <c r="D102" s="140">
        <f>PRODUTIVIDADE!C103</f>
        <v>872.46</v>
      </c>
      <c r="E102" s="218"/>
      <c r="F102" s="214"/>
    </row>
    <row r="103" spans="1:6" ht="15.6">
      <c r="A103" s="480" t="s">
        <v>440</v>
      </c>
      <c r="B103" s="480"/>
      <c r="C103" s="150">
        <f>PRODUTIVIDADE!B104</f>
        <v>0</v>
      </c>
      <c r="D103" s="151">
        <f>PRODUTIVIDADE!C104</f>
        <v>0</v>
      </c>
      <c r="E103" s="215" t="str">
        <f>IF(D103=0,"N/A",((PROPOSTA_GLOBAL!$K$23+PROPOSTA_GLOBAL!$K$24)/PRODUTIVIDADE!$J$87)*PRODUTIVIDADE!H104)</f>
        <v>N/A</v>
      </c>
      <c r="F103" s="215" t="str">
        <f>IF(D103=0,"N/A",E103/D103)</f>
        <v>N/A</v>
      </c>
    </row>
    <row r="104" spans="1:6" ht="15.6">
      <c r="A104" s="480" t="s">
        <v>473</v>
      </c>
      <c r="B104" s="480"/>
      <c r="C104" s="150">
        <f>PRODUTIVIDADE!B105</f>
        <v>436.23</v>
      </c>
      <c r="D104" s="151">
        <f>PRODUTIVIDADE!C105</f>
        <v>436.23</v>
      </c>
      <c r="E104" s="215">
        <f>IF(D104=0,"N/A",((PROPOSTA_GLOBAL!$K$23+PROPOSTA_GLOBAL!$K$24)/PRODUTIVIDADE!$J$87)*PRODUTIVIDADE!H105)</f>
        <v>2.4441004931761112</v>
      </c>
      <c r="F104" s="215">
        <f>IF(D104=0,"N/A",E104/D104)</f>
        <v>5.6027794814114372E-3</v>
      </c>
    </row>
    <row r="105" spans="1:6" ht="15.6">
      <c r="A105" s="480" t="s">
        <v>474</v>
      </c>
      <c r="B105" s="480"/>
      <c r="C105" s="150">
        <f>PRODUTIVIDADE!B106</f>
        <v>436.23</v>
      </c>
      <c r="D105" s="151">
        <f>PRODUTIVIDADE!C106</f>
        <v>436.23</v>
      </c>
      <c r="E105" s="215">
        <f>IF(D105=0,"N/A",((PROPOSTA_GLOBAL!$K$23+PROPOSTA_GLOBAL!$K$24)/PRODUTIVIDADE!$J$87)*PRODUTIVIDADE!H106)</f>
        <v>2.4441004931761112</v>
      </c>
      <c r="F105" s="215">
        <f>IF(D105=0,"N/A",E105/D105)</f>
        <v>5.6027794814114372E-3</v>
      </c>
    </row>
    <row r="106" spans="1:6" ht="15.6">
      <c r="A106" s="479" t="s">
        <v>441</v>
      </c>
      <c r="B106" s="479"/>
      <c r="C106" s="140">
        <f>PRODUTIVIDADE!B107</f>
        <v>0</v>
      </c>
      <c r="D106" s="140">
        <f>PRODUTIVIDADE!C107</f>
        <v>0</v>
      </c>
      <c r="E106" s="218"/>
      <c r="F106" s="214"/>
    </row>
    <row r="107" spans="1:6" ht="15.6">
      <c r="A107" s="480" t="s">
        <v>442</v>
      </c>
      <c r="B107" s="480"/>
      <c r="C107" s="150">
        <f>PRODUTIVIDADE!B108</f>
        <v>0</v>
      </c>
      <c r="D107" s="151">
        <f>PRODUTIVIDADE!C108</f>
        <v>0</v>
      </c>
      <c r="E107" s="215" t="str">
        <f>IF(D107=0,"N/A",((PROPOSTA_GLOBAL!$K$23+PROPOSTA_GLOBAL!$K$24)/PRODUTIVIDADE!$J$87)*PRODUTIVIDADE!H108)</f>
        <v>N/A</v>
      </c>
      <c r="F107" s="215" t="str">
        <f>IF(D107=0,"N/A",E107/D107)</f>
        <v>N/A</v>
      </c>
    </row>
    <row r="108" spans="1:6" ht="15.6">
      <c r="A108" s="479" t="s">
        <v>475</v>
      </c>
      <c r="B108" s="479"/>
      <c r="C108" s="140">
        <f>PRODUTIVIDADE!B109</f>
        <v>9531.7999999999993</v>
      </c>
      <c r="D108" s="140">
        <f>PRODUTIVIDADE!C109</f>
        <v>9531.7999999999993</v>
      </c>
      <c r="E108" s="201">
        <f>SUM(E87:E107)</f>
        <v>42459.380000000005</v>
      </c>
      <c r="F108" s="215"/>
    </row>
    <row r="109" spans="1:6" ht="21.75" customHeight="1"/>
    <row r="110" spans="1:6" ht="15.6">
      <c r="A110" s="478" t="str">
        <f>PRODUTIVIDADE!A111</f>
        <v>LONDRINA GISE (SEI 32654390 e 37330712)</v>
      </c>
      <c r="B110" s="478"/>
      <c r="C110" s="466" t="s">
        <v>444</v>
      </c>
      <c r="D110" s="467"/>
      <c r="E110" s="474" t="s">
        <v>494</v>
      </c>
      <c r="F110" s="475" t="s">
        <v>495</v>
      </c>
    </row>
    <row r="111" spans="1:6" ht="15.6">
      <c r="A111" s="478"/>
      <c r="B111" s="478"/>
      <c r="C111" s="179" t="s">
        <v>484</v>
      </c>
      <c r="D111" s="142" t="s">
        <v>448</v>
      </c>
      <c r="E111" s="474"/>
      <c r="F111" s="475"/>
    </row>
    <row r="112" spans="1:6" ht="15.6">
      <c r="A112" s="479" t="s">
        <v>457</v>
      </c>
      <c r="B112" s="479"/>
      <c r="C112" s="140">
        <f>PRODUTIVIDADE!B113</f>
        <v>786</v>
      </c>
      <c r="D112" s="140">
        <f>PRODUTIVIDADE!C113</f>
        <v>786</v>
      </c>
      <c r="E112" s="474"/>
      <c r="F112" s="475"/>
    </row>
    <row r="113" spans="1:6" ht="15.6">
      <c r="A113" s="480" t="s">
        <v>458</v>
      </c>
      <c r="B113" s="480"/>
      <c r="C113" s="150">
        <f>PRODUTIVIDADE!B114</f>
        <v>0</v>
      </c>
      <c r="D113" s="151">
        <f>PRODUTIVIDADE!C114</f>
        <v>0</v>
      </c>
      <c r="E113" s="215" t="str">
        <f>IF(D113=0,"N/A",((PROPOSTA_GLOBAL!$K$25)/PRODUTIVIDADE!$J$113)*PRODUTIVIDADE!H114)</f>
        <v>N/A</v>
      </c>
      <c r="F113" s="215" t="str">
        <f t="shared" ref="F113:F120" si="11">IF(D113=0,"N/A",E113/D113)</f>
        <v>N/A</v>
      </c>
    </row>
    <row r="114" spans="1:6" ht="15.6">
      <c r="A114" s="480" t="s">
        <v>459</v>
      </c>
      <c r="B114" s="480"/>
      <c r="C114" s="150">
        <f>PRODUTIVIDADE!B115</f>
        <v>739</v>
      </c>
      <c r="D114" s="151">
        <f>PRODUTIVIDADE!C115</f>
        <v>739</v>
      </c>
      <c r="E114" s="215">
        <f>IF(D114=0,"N/A",((PROPOSTA_GLOBAL!$K$25)/PRODUTIVIDADE!$J$113)*PRODUTIVIDADE!H115)</f>
        <v>3869.1475634638227</v>
      </c>
      <c r="F114" s="215">
        <f t="shared" si="11"/>
        <v>5.2356529952149158</v>
      </c>
    </row>
    <row r="115" spans="1:6" ht="15.6">
      <c r="A115" s="480" t="s">
        <v>460</v>
      </c>
      <c r="B115" s="480"/>
      <c r="C115" s="150">
        <f>PRODUTIVIDADE!B116</f>
        <v>0</v>
      </c>
      <c r="D115" s="151">
        <f>PRODUTIVIDADE!C116</f>
        <v>0</v>
      </c>
      <c r="E115" s="215" t="str">
        <f>IF(D115=0,"N/A",((PROPOSTA_GLOBAL!$K$25)/PRODUTIVIDADE!$J$113)*PRODUTIVIDADE!H116)</f>
        <v>N/A</v>
      </c>
      <c r="F115" s="215" t="str">
        <f t="shared" si="11"/>
        <v>N/A</v>
      </c>
    </row>
    <row r="116" spans="1:6" ht="15.6">
      <c r="A116" s="480" t="s">
        <v>461</v>
      </c>
      <c r="B116" s="480"/>
      <c r="C116" s="150">
        <f>PRODUTIVIDADE!B117</f>
        <v>0</v>
      </c>
      <c r="D116" s="151">
        <f>PRODUTIVIDADE!C117</f>
        <v>0</v>
      </c>
      <c r="E116" s="215" t="str">
        <f>IF(D116=0,"N/A",((PROPOSTA_GLOBAL!$K$25)/PRODUTIVIDADE!$J$113)*PRODUTIVIDADE!H117)</f>
        <v>N/A</v>
      </c>
      <c r="F116" s="215" t="str">
        <f t="shared" si="11"/>
        <v>N/A</v>
      </c>
    </row>
    <row r="117" spans="1:6" ht="15.6">
      <c r="A117" s="480" t="s">
        <v>462</v>
      </c>
      <c r="B117" s="480"/>
      <c r="C117" s="150">
        <f>PRODUTIVIDADE!B118</f>
        <v>0</v>
      </c>
      <c r="D117" s="151">
        <f>PRODUTIVIDADE!C118</f>
        <v>0</v>
      </c>
      <c r="E117" s="215" t="str">
        <f>IF(D117=0,"N/A",((PROPOSTA_GLOBAL!$K$25)/PRODUTIVIDADE!$J$113)*PRODUTIVIDADE!H118)</f>
        <v>N/A</v>
      </c>
      <c r="F117" s="215" t="str">
        <f t="shared" si="11"/>
        <v>N/A</v>
      </c>
    </row>
    <row r="118" spans="1:6" ht="15.6">
      <c r="A118" s="480" t="s">
        <v>463</v>
      </c>
      <c r="B118" s="480"/>
      <c r="C118" s="150">
        <f>PRODUTIVIDADE!B119</f>
        <v>0</v>
      </c>
      <c r="D118" s="151">
        <f>PRODUTIVIDADE!C119</f>
        <v>0</v>
      </c>
      <c r="E118" s="215" t="str">
        <f>IF(D118=0,"N/A",((PROPOSTA_GLOBAL!$K$25)/PRODUTIVIDADE!$J$113)*PRODUTIVIDADE!H119)</f>
        <v>N/A</v>
      </c>
      <c r="F118" s="215" t="str">
        <f t="shared" si="11"/>
        <v>N/A</v>
      </c>
    </row>
    <row r="119" spans="1:6" ht="15.6">
      <c r="A119" s="480" t="s">
        <v>464</v>
      </c>
      <c r="B119" s="480"/>
      <c r="C119" s="150">
        <f>PRODUTIVIDADE!B120</f>
        <v>0</v>
      </c>
      <c r="D119" s="151">
        <f>PRODUTIVIDADE!C120</f>
        <v>0</v>
      </c>
      <c r="E119" s="215" t="str">
        <f>IF(D119=0,"N/A",((PROPOSTA_GLOBAL!$K$25)/PRODUTIVIDADE!$J$113)*PRODUTIVIDADE!H120)</f>
        <v>N/A</v>
      </c>
      <c r="F119" s="215" t="str">
        <f t="shared" si="11"/>
        <v>N/A</v>
      </c>
    </row>
    <row r="120" spans="1:6" ht="15.6">
      <c r="A120" s="480" t="s">
        <v>465</v>
      </c>
      <c r="B120" s="480"/>
      <c r="C120" s="150">
        <f>PRODUTIVIDADE!B121</f>
        <v>47</v>
      </c>
      <c r="D120" s="151">
        <f>PRODUTIVIDADE!C121</f>
        <v>47</v>
      </c>
      <c r="E120" s="215">
        <f>IF(D120=0,"N/A",((PROPOSTA_GLOBAL!$K$25)/PRODUTIVIDADE!$J$113)*PRODUTIVIDADE!H121)</f>
        <v>1458.2263157043024</v>
      </c>
      <c r="F120" s="215">
        <f t="shared" si="11"/>
        <v>31.026091823495793</v>
      </c>
    </row>
    <row r="121" spans="1:6" ht="15.6">
      <c r="A121" s="479" t="s">
        <v>466</v>
      </c>
      <c r="B121" s="479"/>
      <c r="C121" s="140">
        <f>PRODUTIVIDADE!B122</f>
        <v>1750</v>
      </c>
      <c r="D121" s="140">
        <f>PRODUTIVIDADE!C122</f>
        <v>1750</v>
      </c>
      <c r="E121" s="218"/>
      <c r="F121" s="214"/>
    </row>
    <row r="122" spans="1:6" ht="15.6">
      <c r="A122" s="480" t="s">
        <v>467</v>
      </c>
      <c r="B122" s="480"/>
      <c r="C122" s="150">
        <f>PRODUTIVIDADE!B123</f>
        <v>550</v>
      </c>
      <c r="D122" s="151">
        <f>PRODUTIVIDADE!C123</f>
        <v>550</v>
      </c>
      <c r="E122" s="215">
        <f>IF(D122=0,"N/A",((PROPOSTA_GLOBAL!$K$25)/PRODUTIVIDADE!$J$113)*PRODUTIVIDADE!H123)</f>
        <v>1535.7915452630416</v>
      </c>
      <c r="F122" s="215">
        <f t="shared" ref="F122:F127" si="12">IF(D122=0,"N/A",E122/D122)</f>
        <v>2.7923482641146209</v>
      </c>
    </row>
    <row r="123" spans="1:6" ht="15.6">
      <c r="A123" s="480" t="s">
        <v>468</v>
      </c>
      <c r="B123" s="480"/>
      <c r="C123" s="150">
        <f>PRODUTIVIDADE!B124</f>
        <v>700</v>
      </c>
      <c r="D123" s="151">
        <f>PRODUTIVIDADE!C124</f>
        <v>700</v>
      </c>
      <c r="E123" s="215">
        <f>IF(D123=0,"N/A",((PROPOSTA_GLOBAL!$K$25)/PRODUTIVIDADE!$J$113)*PRODUTIVIDADE!H124)</f>
        <v>723.9421425482351</v>
      </c>
      <c r="F123" s="215">
        <f t="shared" si="12"/>
        <v>1.0342030607831929</v>
      </c>
    </row>
    <row r="124" spans="1:6" ht="15.6">
      <c r="A124" s="480" t="s">
        <v>469</v>
      </c>
      <c r="B124" s="480"/>
      <c r="C124" s="150">
        <f>PRODUTIVIDADE!B125</f>
        <v>280</v>
      </c>
      <c r="D124" s="151">
        <f>PRODUTIVIDADE!C125</f>
        <v>280</v>
      </c>
      <c r="E124" s="215">
        <f>IF(D124=0,"N/A",((PROPOSTA_GLOBAL!$K$25)/PRODUTIVIDADE!$J$113)*PRODUTIVIDADE!H125)</f>
        <v>781.85751395209388</v>
      </c>
      <c r="F124" s="215">
        <f t="shared" si="12"/>
        <v>2.7923482641146209</v>
      </c>
    </row>
    <row r="125" spans="1:6" ht="15.6">
      <c r="A125" s="480" t="s">
        <v>470</v>
      </c>
      <c r="B125" s="480"/>
      <c r="C125" s="150">
        <f>PRODUTIVIDADE!B126</f>
        <v>0</v>
      </c>
      <c r="D125" s="151">
        <f>PRODUTIVIDADE!C126</f>
        <v>0</v>
      </c>
      <c r="E125" s="215" t="str">
        <f>IF(D125=0,"N/A",((PROPOSTA_GLOBAL!$K$25)/PRODUTIVIDADE!$J$113)*PRODUTIVIDADE!H126)</f>
        <v>N/A</v>
      </c>
      <c r="F125" s="215" t="str">
        <f t="shared" si="12"/>
        <v>N/A</v>
      </c>
    </row>
    <row r="126" spans="1:6" ht="15.6">
      <c r="A126" s="480" t="s">
        <v>471</v>
      </c>
      <c r="B126" s="480"/>
      <c r="C126" s="150">
        <f>PRODUTIVIDADE!B127</f>
        <v>0</v>
      </c>
      <c r="D126" s="151">
        <f>PRODUTIVIDADE!C127</f>
        <v>0</v>
      </c>
      <c r="E126" s="215" t="str">
        <f>IF(D126=0,"N/A",((PROPOSTA_GLOBAL!$K$25)/PRODUTIVIDADE!$J$113)*PRODUTIVIDADE!H127)</f>
        <v>N/A</v>
      </c>
      <c r="F126" s="215" t="str">
        <f t="shared" si="12"/>
        <v>N/A</v>
      </c>
    </row>
    <row r="127" spans="1:6" ht="15.6">
      <c r="A127" s="480" t="s">
        <v>472</v>
      </c>
      <c r="B127" s="480"/>
      <c r="C127" s="150">
        <f>PRODUTIVIDADE!B128</f>
        <v>220</v>
      </c>
      <c r="D127" s="151">
        <f>PRODUTIVIDADE!C128</f>
        <v>220</v>
      </c>
      <c r="E127" s="215">
        <f>IF(D127=0,"N/A",((PROPOSTA_GLOBAL!$K$25)/PRODUTIVIDADE!$J$113)*PRODUTIVIDADE!H128)</f>
        <v>20.477220603507224</v>
      </c>
      <c r="F127" s="215">
        <f t="shared" si="12"/>
        <v>9.3078275470487387E-2</v>
      </c>
    </row>
    <row r="128" spans="1:6" ht="15.6">
      <c r="A128" s="479" t="s">
        <v>439</v>
      </c>
      <c r="B128" s="479"/>
      <c r="C128" s="140">
        <f>PRODUTIVIDADE!B129</f>
        <v>140</v>
      </c>
      <c r="D128" s="140">
        <f>PRODUTIVIDADE!C129</f>
        <v>140</v>
      </c>
      <c r="E128" s="218"/>
      <c r="F128" s="214"/>
    </row>
    <row r="129" spans="1:6" ht="15.6">
      <c r="A129" s="480" t="s">
        <v>440</v>
      </c>
      <c r="B129" s="480"/>
      <c r="C129" s="150">
        <f>PRODUTIVIDADE!B130</f>
        <v>0</v>
      </c>
      <c r="D129" s="151">
        <f>PRODUTIVIDADE!C130</f>
        <v>0</v>
      </c>
      <c r="E129" s="215" t="str">
        <f>IF(D129=0,"N/A",((PROPOSTA_GLOBAL!$K$25)/PRODUTIVIDADE!$J$113)*PRODUTIVIDADE!H130)</f>
        <v>N/A</v>
      </c>
      <c r="F129" s="215" t="str">
        <f>IF(D129=0,"N/A",E129/D129)</f>
        <v>N/A</v>
      </c>
    </row>
    <row r="130" spans="1:6" ht="15.6">
      <c r="A130" s="480" t="s">
        <v>473</v>
      </c>
      <c r="B130" s="480"/>
      <c r="C130" s="150">
        <f>PRODUTIVIDADE!B131</f>
        <v>70</v>
      </c>
      <c r="D130" s="151">
        <f>PRODUTIVIDADE!C131</f>
        <v>70</v>
      </c>
      <c r="E130" s="215">
        <f>IF(D130=0,"N/A",((PROPOSTA_GLOBAL!$K$25)/PRODUTIVIDADE!$J$113)*PRODUTIVIDADE!H131)</f>
        <v>2.2838492324987705</v>
      </c>
      <c r="F130" s="215">
        <f>IF(D130=0,"N/A",E130/D130)</f>
        <v>3.2626417607125292E-2</v>
      </c>
    </row>
    <row r="131" spans="1:6" ht="15.6">
      <c r="A131" s="480" t="s">
        <v>474</v>
      </c>
      <c r="B131" s="480"/>
      <c r="C131" s="150">
        <f>PRODUTIVIDADE!B132</f>
        <v>70</v>
      </c>
      <c r="D131" s="151">
        <f>PRODUTIVIDADE!C132</f>
        <v>70</v>
      </c>
      <c r="E131" s="215">
        <f>IF(D131=0,"N/A",((PROPOSTA_GLOBAL!$K$25)/PRODUTIVIDADE!$J$113)*PRODUTIVIDADE!H132)</f>
        <v>2.2838492324987705</v>
      </c>
      <c r="F131" s="215">
        <f>IF(D131=0,"N/A",E131/D131)</f>
        <v>3.2626417607125292E-2</v>
      </c>
    </row>
    <row r="132" spans="1:6" ht="15.6">
      <c r="A132" s="479" t="s">
        <v>441</v>
      </c>
      <c r="B132" s="479"/>
      <c r="C132" s="140">
        <f>PRODUTIVIDADE!B133</f>
        <v>0</v>
      </c>
      <c r="D132" s="140">
        <f>PRODUTIVIDADE!C133</f>
        <v>0</v>
      </c>
      <c r="E132" s="218"/>
      <c r="F132" s="214"/>
    </row>
    <row r="133" spans="1:6" ht="15.6">
      <c r="A133" s="480" t="s">
        <v>442</v>
      </c>
      <c r="B133" s="480"/>
      <c r="C133" s="150">
        <f>PRODUTIVIDADE!B134</f>
        <v>0</v>
      </c>
      <c r="D133" s="151">
        <f>PRODUTIVIDADE!C134</f>
        <v>0</v>
      </c>
      <c r="E133" s="215" t="str">
        <f>IF(D133=0,"N/A",((PROPOSTA_GLOBAL!$K$25)/PRODUTIVIDADE!$J$113)*PRODUTIVIDADE!H134)</f>
        <v>N/A</v>
      </c>
      <c r="F133" s="215" t="str">
        <f>IF(D133=0,"N/A",E133/D133)</f>
        <v>N/A</v>
      </c>
    </row>
    <row r="134" spans="1:6" ht="15.6">
      <c r="A134" s="479" t="s">
        <v>475</v>
      </c>
      <c r="B134" s="479"/>
      <c r="C134" s="140">
        <f>PRODUTIVIDADE!B135</f>
        <v>2676</v>
      </c>
      <c r="D134" s="140">
        <f>PRODUTIVIDADE!C135</f>
        <v>2676</v>
      </c>
      <c r="E134" s="201">
        <f>SUM(E113:E133)</f>
        <v>8394.01</v>
      </c>
      <c r="F134" s="215"/>
    </row>
    <row r="136" spans="1:6" ht="15.6">
      <c r="A136" s="478" t="str">
        <f>PRODUTIVIDADE!A138</f>
        <v>MARINGÁ (SEI 47680974)</v>
      </c>
      <c r="B136" s="478"/>
      <c r="C136" s="466" t="s">
        <v>444</v>
      </c>
      <c r="D136" s="467"/>
      <c r="E136" s="474" t="s">
        <v>494</v>
      </c>
      <c r="F136" s="475" t="s">
        <v>495</v>
      </c>
    </row>
    <row r="137" spans="1:6" ht="15.6">
      <c r="A137" s="478"/>
      <c r="B137" s="478"/>
      <c r="C137" s="146" t="s">
        <v>481</v>
      </c>
      <c r="D137" s="142" t="s">
        <v>448</v>
      </c>
      <c r="E137" s="474"/>
      <c r="F137" s="475"/>
    </row>
    <row r="138" spans="1:6" ht="15.6">
      <c r="A138" s="479" t="s">
        <v>457</v>
      </c>
      <c r="B138" s="479"/>
      <c r="C138" s="140">
        <f>PRODUTIVIDADE!B140</f>
        <v>2069</v>
      </c>
      <c r="D138" s="140">
        <f>PRODUTIVIDADE!C140</f>
        <v>2069</v>
      </c>
      <c r="E138" s="474"/>
      <c r="F138" s="475"/>
    </row>
    <row r="139" spans="1:6" ht="15.6">
      <c r="A139" s="480" t="s">
        <v>458</v>
      </c>
      <c r="B139" s="480"/>
      <c r="C139" s="150">
        <f>PRODUTIVIDADE!B141</f>
        <v>0</v>
      </c>
      <c r="D139" s="151">
        <f>PRODUTIVIDADE!C141</f>
        <v>0</v>
      </c>
      <c r="E139" s="215" t="str">
        <f>IF(D139=0,"N/A",((PROPOSTA_GLOBAL!$K$26+PROPOSTA_GLOBAL!$K$27)/PRODUTIVIDADE!$J$140)*PRODUTIVIDADE!H141)</f>
        <v>N/A</v>
      </c>
      <c r="F139" s="215" t="str">
        <f t="shared" ref="F139:F146" si="13">IF(D139=0,"N/A",E139/D139)</f>
        <v>N/A</v>
      </c>
    </row>
    <row r="140" spans="1:6" ht="15.6">
      <c r="A140" s="480" t="s">
        <v>459</v>
      </c>
      <c r="B140" s="480"/>
      <c r="C140" s="150">
        <f>PRODUTIVIDADE!B142</f>
        <v>1919</v>
      </c>
      <c r="D140" s="151">
        <f>PRODUTIVIDADE!C142</f>
        <v>1919</v>
      </c>
      <c r="E140" s="215">
        <f>IF(D140=0,"N/A",((PROPOSTA_GLOBAL!$K$26+PROPOSTA_GLOBAL!$K$27)/PRODUTIVIDADE!$J$140)*PRODUTIVIDADE!H142)</f>
        <v>13368.856409497528</v>
      </c>
      <c r="F140" s="215">
        <f t="shared" si="13"/>
        <v>6.9665744708168464</v>
      </c>
    </row>
    <row r="141" spans="1:6" ht="15.6">
      <c r="A141" s="480" t="s">
        <v>460</v>
      </c>
      <c r="B141" s="480"/>
      <c r="C141" s="150">
        <f>PRODUTIVIDADE!B143</f>
        <v>0</v>
      </c>
      <c r="D141" s="151">
        <f>PRODUTIVIDADE!C143</f>
        <v>0</v>
      </c>
      <c r="E141" s="215" t="str">
        <f>IF(D141=0,"N/A",((PROPOSTA_GLOBAL!$K$26+PROPOSTA_GLOBAL!$K$27)/PRODUTIVIDADE!$J$140)*PRODUTIVIDADE!H143)</f>
        <v>N/A</v>
      </c>
      <c r="F141" s="215" t="str">
        <f t="shared" si="13"/>
        <v>N/A</v>
      </c>
    </row>
    <row r="142" spans="1:6" ht="15.6">
      <c r="A142" s="480" t="s">
        <v>461</v>
      </c>
      <c r="B142" s="480"/>
      <c r="C142" s="150">
        <f>PRODUTIVIDADE!B144</f>
        <v>0</v>
      </c>
      <c r="D142" s="151">
        <f>PRODUTIVIDADE!C144</f>
        <v>0</v>
      </c>
      <c r="E142" s="215" t="str">
        <f>IF(D142=0,"N/A",((PROPOSTA_GLOBAL!$K$26+PROPOSTA_GLOBAL!$K$27)/PRODUTIVIDADE!$J$140)*PRODUTIVIDADE!H144)</f>
        <v>N/A</v>
      </c>
      <c r="F142" s="215" t="str">
        <f t="shared" si="13"/>
        <v>N/A</v>
      </c>
    </row>
    <row r="143" spans="1:6" ht="15.6">
      <c r="A143" s="480" t="s">
        <v>462</v>
      </c>
      <c r="B143" s="480"/>
      <c r="C143" s="150">
        <f>PRODUTIVIDADE!B145</f>
        <v>0</v>
      </c>
      <c r="D143" s="151">
        <f>PRODUTIVIDADE!C145</f>
        <v>0</v>
      </c>
      <c r="E143" s="215" t="str">
        <f>IF(D143=0,"N/A",((PROPOSTA_GLOBAL!$K$26+PROPOSTA_GLOBAL!$K$27)/PRODUTIVIDADE!$J$140)*PRODUTIVIDADE!H145)</f>
        <v>N/A</v>
      </c>
      <c r="F143" s="215" t="str">
        <f t="shared" si="13"/>
        <v>N/A</v>
      </c>
    </row>
    <row r="144" spans="1:6" ht="15.6">
      <c r="A144" s="480" t="s">
        <v>463</v>
      </c>
      <c r="B144" s="480"/>
      <c r="C144" s="150">
        <f>PRODUTIVIDADE!B146</f>
        <v>0</v>
      </c>
      <c r="D144" s="151">
        <f>PRODUTIVIDADE!C146</f>
        <v>0</v>
      </c>
      <c r="E144" s="215" t="str">
        <f>IF(D144=0,"N/A",((PROPOSTA_GLOBAL!$K$26+PROPOSTA_GLOBAL!$K$27)/PRODUTIVIDADE!$J$140)*PRODUTIVIDADE!H146)</f>
        <v>N/A</v>
      </c>
      <c r="F144" s="215" t="str">
        <f t="shared" si="13"/>
        <v>N/A</v>
      </c>
    </row>
    <row r="145" spans="1:6" ht="15.6">
      <c r="A145" s="480" t="s">
        <v>464</v>
      </c>
      <c r="B145" s="480"/>
      <c r="C145" s="150">
        <f>PRODUTIVIDADE!B147</f>
        <v>60</v>
      </c>
      <c r="D145" s="151">
        <f>PRODUTIVIDADE!C147</f>
        <v>60</v>
      </c>
      <c r="E145" s="215">
        <f>IF(D145=0,"N/A",((PROPOSTA_GLOBAL!$K$26+PROPOSTA_GLOBAL!$K$27)/PRODUTIVIDADE!$J$140)*PRODUTIVIDADE!H147)</f>
        <v>448.18295762255042</v>
      </c>
      <c r="F145" s="215">
        <f t="shared" si="13"/>
        <v>7.4697159603758401</v>
      </c>
    </row>
    <row r="146" spans="1:6" ht="15.6">
      <c r="A146" s="480" t="s">
        <v>465</v>
      </c>
      <c r="B146" s="480"/>
      <c r="C146" s="150">
        <f>PRODUTIVIDADE!B148</f>
        <v>90</v>
      </c>
      <c r="D146" s="151">
        <f>PRODUTIVIDADE!C148</f>
        <v>90</v>
      </c>
      <c r="E146" s="215">
        <f>IF(D146=0,"N/A",((PROPOSTA_GLOBAL!$K$26+PROPOSTA_GLOBAL!$K$27)/PRODUTIVIDADE!$J$140)*PRODUTIVIDADE!H148)</f>
        <v>3361.3721821691283</v>
      </c>
      <c r="F146" s="215">
        <f t="shared" si="13"/>
        <v>37.348579801879204</v>
      </c>
    </row>
    <row r="147" spans="1:6" ht="15.6">
      <c r="A147" s="479" t="s">
        <v>466</v>
      </c>
      <c r="B147" s="479"/>
      <c r="C147" s="140">
        <f>PRODUTIVIDADE!B149</f>
        <v>4800</v>
      </c>
      <c r="D147" s="140">
        <f>PRODUTIVIDADE!C149</f>
        <v>4800</v>
      </c>
      <c r="E147" s="218"/>
      <c r="F147" s="214"/>
    </row>
    <row r="148" spans="1:6" ht="15.6">
      <c r="A148" s="480" t="s">
        <v>467</v>
      </c>
      <c r="B148" s="480"/>
      <c r="C148" s="150">
        <f>PRODUTIVIDADE!B150</f>
        <v>300</v>
      </c>
      <c r="D148" s="151">
        <f>PRODUTIVIDADE!C150</f>
        <v>300</v>
      </c>
      <c r="E148" s="215">
        <f>IF(D148=0,"N/A",((PROPOSTA_GLOBAL!$K$26+PROPOSTA_GLOBAL!$K$27)/PRODUTIVIDADE!$J$140)*PRODUTIVIDADE!H150)</f>
        <v>1244.95266006264</v>
      </c>
      <c r="F148" s="215">
        <f t="shared" ref="F148:F153" si="14">IF(D148=0,"N/A",E148/D148)</f>
        <v>4.1498422002088002</v>
      </c>
    </row>
    <row r="149" spans="1:6" ht="15.6">
      <c r="A149" s="480" t="s">
        <v>468</v>
      </c>
      <c r="B149" s="480"/>
      <c r="C149" s="150">
        <f>PRODUTIVIDADE!B151</f>
        <v>500</v>
      </c>
      <c r="D149" s="151">
        <f>PRODUTIVIDADE!C151</f>
        <v>500</v>
      </c>
      <c r="E149" s="215">
        <f>IF(D149=0,"N/A",((PROPOSTA_GLOBAL!$K$26+PROPOSTA_GLOBAL!$K$27)/PRODUTIVIDADE!$J$140)*PRODUTIVIDADE!H151)</f>
        <v>622.47633003132</v>
      </c>
      <c r="F149" s="215">
        <f t="shared" si="14"/>
        <v>1.2449526600626399</v>
      </c>
    </row>
    <row r="150" spans="1:6" ht="15.6">
      <c r="A150" s="480" t="s">
        <v>469</v>
      </c>
      <c r="B150" s="480"/>
      <c r="C150" s="150">
        <f>PRODUTIVIDADE!B152</f>
        <v>1000</v>
      </c>
      <c r="D150" s="151">
        <f>PRODUTIVIDADE!C152</f>
        <v>1000</v>
      </c>
      <c r="E150" s="215">
        <f>IF(D150=0,"N/A",((PROPOSTA_GLOBAL!$K$26+PROPOSTA_GLOBAL!$K$27)/PRODUTIVIDADE!$J$140)*PRODUTIVIDADE!H152)</f>
        <v>4149.8422002088</v>
      </c>
      <c r="F150" s="215">
        <f t="shared" si="14"/>
        <v>4.1498422002088002</v>
      </c>
    </row>
    <row r="151" spans="1:6" ht="15.6">
      <c r="A151" s="480" t="s">
        <v>470</v>
      </c>
      <c r="B151" s="480"/>
      <c r="C151" s="150">
        <f>PRODUTIVIDADE!B153</f>
        <v>500</v>
      </c>
      <c r="D151" s="151">
        <f>PRODUTIVIDADE!C153</f>
        <v>500</v>
      </c>
      <c r="E151" s="215">
        <f>IF(D151=0,"N/A",((PROPOSTA_GLOBAL!$K$26+PROPOSTA_GLOBAL!$K$27)/PRODUTIVIDADE!$J$140)*PRODUTIVIDADE!H153)</f>
        <v>2074.9211001044</v>
      </c>
      <c r="F151" s="215">
        <f t="shared" si="14"/>
        <v>4.1498422002088002</v>
      </c>
    </row>
    <row r="152" spans="1:6" ht="15.6">
      <c r="A152" s="480" t="s">
        <v>471</v>
      </c>
      <c r="B152" s="480"/>
      <c r="C152" s="150">
        <f>PRODUTIVIDADE!B154</f>
        <v>2000</v>
      </c>
      <c r="D152" s="151">
        <f>PRODUTIVIDADE!C154</f>
        <v>2000</v>
      </c>
      <c r="E152" s="215">
        <f>IF(D152=0,"N/A",((PROPOSTA_GLOBAL!$K$26+PROPOSTA_GLOBAL!$K$27)/PRODUTIVIDADE!$J$140)*PRODUTIVIDADE!H154)</f>
        <v>8299.6844004176</v>
      </c>
      <c r="F152" s="215">
        <f t="shared" si="14"/>
        <v>4.1498422002088002</v>
      </c>
    </row>
    <row r="153" spans="1:6" ht="15.6">
      <c r="A153" s="480" t="s">
        <v>472</v>
      </c>
      <c r="B153" s="480"/>
      <c r="C153" s="150">
        <f>PRODUTIVIDADE!B155</f>
        <v>500</v>
      </c>
      <c r="D153" s="151">
        <f>PRODUTIVIDADE!C155</f>
        <v>500</v>
      </c>
      <c r="E153" s="215">
        <f>IF(D153=0,"N/A",((PROPOSTA_GLOBAL!$K$26+PROPOSTA_GLOBAL!$K$27)/PRODUTIVIDADE!$J$140)*PRODUTIVIDADE!H155)</f>
        <v>37.348579801879204</v>
      </c>
      <c r="F153" s="215">
        <f t="shared" si="14"/>
        <v>7.4697159603758403E-2</v>
      </c>
    </row>
    <row r="154" spans="1:6" ht="15.6">
      <c r="A154" s="479" t="s">
        <v>439</v>
      </c>
      <c r="B154" s="479"/>
      <c r="C154" s="140">
        <f>PRODUTIVIDADE!B156</f>
        <v>500</v>
      </c>
      <c r="D154" s="140">
        <f>PRODUTIVIDADE!C156</f>
        <v>500</v>
      </c>
      <c r="E154" s="218"/>
      <c r="F154" s="214"/>
    </row>
    <row r="155" spans="1:6" ht="15.6">
      <c r="A155" s="480" t="s">
        <v>440</v>
      </c>
      <c r="B155" s="480"/>
      <c r="C155" s="150">
        <f>PRODUTIVIDADE!B157</f>
        <v>0</v>
      </c>
      <c r="D155" s="151">
        <f>PRODUTIVIDADE!C157</f>
        <v>0</v>
      </c>
      <c r="E155" s="215" t="str">
        <f>IF(D155=0,"N/A",((PROPOSTA_GLOBAL!$K$26+PROPOSTA_GLOBAL!$K$27)/PRODUTIVIDADE!$J$140)*PRODUTIVIDADE!H157)</f>
        <v>N/A</v>
      </c>
      <c r="F155" s="215" t="str">
        <f>IF(D155=0,"N/A",E155/D155)</f>
        <v>N/A</v>
      </c>
    </row>
    <row r="156" spans="1:6" ht="15.6">
      <c r="A156" s="480" t="s">
        <v>473</v>
      </c>
      <c r="B156" s="480"/>
      <c r="C156" s="150">
        <f>PRODUTIVIDADE!B158</f>
        <v>250</v>
      </c>
      <c r="D156" s="151">
        <f>PRODUTIVIDADE!C158</f>
        <v>250</v>
      </c>
      <c r="E156" s="215">
        <f>IF(D156=0,"N/A",((PROPOSTA_GLOBAL!$K$26+PROPOSTA_GLOBAL!$K$27)/PRODUTIVIDADE!$J$140)*PRODUTIVIDADE!H158)</f>
        <v>2.3215900420748539</v>
      </c>
      <c r="F156" s="215">
        <f>IF(D156=0,"N/A",E156/D156)</f>
        <v>9.2863601682994148E-3</v>
      </c>
    </row>
    <row r="157" spans="1:6" ht="15.6">
      <c r="A157" s="480" t="s">
        <v>474</v>
      </c>
      <c r="B157" s="480"/>
      <c r="C157" s="150">
        <f>PRODUTIVIDADE!B159</f>
        <v>250</v>
      </c>
      <c r="D157" s="151">
        <f>PRODUTIVIDADE!C159</f>
        <v>250</v>
      </c>
      <c r="E157" s="215">
        <f>IF(D157=0,"N/A",((PROPOSTA_GLOBAL!$K$26+PROPOSTA_GLOBAL!$K$27)/PRODUTIVIDADE!$J$140)*PRODUTIVIDADE!H159)</f>
        <v>2.3215900420748539</v>
      </c>
      <c r="F157" s="215">
        <f>IF(D157=0,"N/A",E157/D157)</f>
        <v>9.2863601682994148E-3</v>
      </c>
    </row>
    <row r="158" spans="1:6" ht="15.6">
      <c r="A158" s="479" t="s">
        <v>441</v>
      </c>
      <c r="B158" s="479"/>
      <c r="C158" s="140">
        <f>PRODUTIVIDADE!B160</f>
        <v>0</v>
      </c>
      <c r="D158" s="140">
        <f>PRODUTIVIDADE!C160</f>
        <v>0</v>
      </c>
      <c r="E158" s="218"/>
      <c r="F158" s="214"/>
    </row>
    <row r="159" spans="1:6" ht="15.6">
      <c r="A159" s="480" t="s">
        <v>442</v>
      </c>
      <c r="B159" s="480"/>
      <c r="C159" s="198">
        <f>PRODUTIVIDADE!B161</f>
        <v>0</v>
      </c>
      <c r="D159" s="199">
        <f>PRODUTIVIDADE!C161</f>
        <v>0</v>
      </c>
      <c r="E159" s="215" t="str">
        <f>IF(D159=0,"N/A",((PROPOSTA_GLOBAL!$K$26+PROPOSTA_GLOBAL!$K$27)/PRODUTIVIDADE!$J$140)*PRODUTIVIDADE!H161)</f>
        <v>N/A</v>
      </c>
      <c r="F159" s="215" t="str">
        <f>IF(D159=0,"N/A",E159/D159)</f>
        <v>N/A</v>
      </c>
    </row>
    <row r="160" spans="1:6" ht="15.6">
      <c r="A160" s="479" t="s">
        <v>475</v>
      </c>
      <c r="B160" s="479"/>
      <c r="C160" s="140">
        <f>PRODUTIVIDADE!B162</f>
        <v>7369</v>
      </c>
      <c r="D160" s="140">
        <f>PRODUTIVIDADE!C162</f>
        <v>7369</v>
      </c>
      <c r="E160" s="201">
        <f>SUM(E139:E159)</f>
        <v>33612.28</v>
      </c>
      <c r="F160" s="215"/>
    </row>
    <row r="161" spans="1:6" ht="19.5" customHeight="1">
      <c r="A161" s="162"/>
      <c r="B161" s="163"/>
      <c r="C161" s="163"/>
      <c r="D161" s="163"/>
      <c r="E161" s="163"/>
      <c r="F161" s="217"/>
    </row>
    <row r="162" spans="1:6" ht="15.6">
      <c r="A162" s="472" t="str">
        <f>PRODUTIVIDADE!A164</f>
        <v>PARANAGUÁ (47182282)</v>
      </c>
      <c r="B162" s="466" t="s">
        <v>444</v>
      </c>
      <c r="C162" s="471"/>
      <c r="D162" s="467"/>
      <c r="E162" s="474" t="s">
        <v>494</v>
      </c>
      <c r="F162" s="475" t="s">
        <v>496</v>
      </c>
    </row>
    <row r="163" spans="1:6" ht="15.6">
      <c r="A163" s="473"/>
      <c r="B163" s="146" t="s">
        <v>481</v>
      </c>
      <c r="C163" s="146" t="s">
        <v>485</v>
      </c>
      <c r="D163" s="142" t="s">
        <v>448</v>
      </c>
      <c r="E163" s="474"/>
      <c r="F163" s="475"/>
    </row>
    <row r="164" spans="1:6" ht="15.6">
      <c r="A164" s="147" t="s">
        <v>457</v>
      </c>
      <c r="B164" s="140">
        <f>PRODUTIVIDADE!B166</f>
        <v>6984.3</v>
      </c>
      <c r="C164" s="140">
        <f>PRODUTIVIDADE!C166</f>
        <v>909.6</v>
      </c>
      <c r="D164" s="140">
        <f>PRODUTIVIDADE!D166</f>
        <v>7893.9000000000005</v>
      </c>
      <c r="E164" s="474"/>
      <c r="F164" s="475"/>
    </row>
    <row r="165" spans="1:6" ht="15.6">
      <c r="A165" s="149" t="s">
        <v>458</v>
      </c>
      <c r="B165" s="150">
        <f>PRODUTIVIDADE!B167</f>
        <v>101</v>
      </c>
      <c r="C165" s="150">
        <f>PRODUTIVIDADE!C167</f>
        <v>0</v>
      </c>
      <c r="D165" s="151">
        <f>PRODUTIVIDADE!D167</f>
        <v>101</v>
      </c>
      <c r="E165" s="201">
        <f>IF(D165=0,"N/A",(PROPOSTA_GLOBAL!$K$28+PROPOSTA_GLOBAL!$K$29)/PRODUTIVIDADE!$K$166*PRODUTIVIDADE!$I167)</f>
        <v>633.86407443258952</v>
      </c>
      <c r="F165" s="215">
        <f>IF(D165=0,"N/A",E165/D165)</f>
        <v>6.2758819250751436</v>
      </c>
    </row>
    <row r="166" spans="1:6" ht="15.6">
      <c r="A166" s="149" t="s">
        <v>459</v>
      </c>
      <c r="B166" s="150">
        <f>PRODUTIVIDADE!B168</f>
        <v>1444</v>
      </c>
      <c r="C166" s="150">
        <f>PRODUTIVIDADE!C168</f>
        <v>572</v>
      </c>
      <c r="D166" s="151">
        <f>PRODUTIVIDADE!D168</f>
        <v>2016</v>
      </c>
      <c r="E166" s="201">
        <f>IF(D166=0,"N/A",(PROPOSTA_GLOBAL!$K$28+PROPOSTA_GLOBAL!$K$29)/PRODUTIVIDADE!$K$166*PRODUTIVIDADE!$I168)</f>
        <v>9109.5681318850711</v>
      </c>
      <c r="F166" s="215">
        <f t="shared" ref="F166:F185" si="15">IF(D166=0,"N/A",E166/D166)</f>
        <v>4.5186349860541029</v>
      </c>
    </row>
    <row r="167" spans="1:6" ht="15.6">
      <c r="A167" s="149" t="s">
        <v>460</v>
      </c>
      <c r="B167" s="150">
        <f>PRODUTIVIDADE!B169</f>
        <v>0</v>
      </c>
      <c r="C167" s="150">
        <f>PRODUTIVIDADE!C169</f>
        <v>0</v>
      </c>
      <c r="D167" s="151">
        <f>PRODUTIVIDADE!D169</f>
        <v>0</v>
      </c>
      <c r="E167" s="201" t="str">
        <f>IF(D167=0,"N/A",(PROPOSTA_GLOBAL!$K$28+PROPOSTA_GLOBAL!$K$29)/PRODUTIVIDADE!$K$166*PRODUTIVIDADE!$I169)</f>
        <v>N/A</v>
      </c>
      <c r="F167" s="215" t="str">
        <f t="shared" si="15"/>
        <v>N/A</v>
      </c>
    </row>
    <row r="168" spans="1:6" ht="15.6">
      <c r="A168" s="149" t="s">
        <v>461</v>
      </c>
      <c r="B168" s="150">
        <f>PRODUTIVIDADE!B170</f>
        <v>24.3</v>
      </c>
      <c r="C168" s="150">
        <f>PRODUTIVIDADE!C170</f>
        <v>0</v>
      </c>
      <c r="D168" s="151">
        <f>PRODUTIVIDADE!D170</f>
        <v>24.3</v>
      </c>
      <c r="E168" s="201">
        <f>IF(D168=0,"N/A",(PROPOSTA_GLOBAL!$K$28+PROPOSTA_GLOBAL!$K$29)/PRODUTIVIDADE!$K$166*PRODUTIVIDADE!$I170)</f>
        <v>73.20188677407647</v>
      </c>
      <c r="F168" s="215">
        <f t="shared" si="15"/>
        <v>3.0124233240360687</v>
      </c>
    </row>
    <row r="169" spans="1:6" ht="15.6">
      <c r="A169" s="149" t="s">
        <v>462</v>
      </c>
      <c r="B169" s="150">
        <f>PRODUTIVIDADE!B171</f>
        <v>0</v>
      </c>
      <c r="C169" s="150">
        <f>PRODUTIVIDADE!C171</f>
        <v>0</v>
      </c>
      <c r="D169" s="151">
        <f>PRODUTIVIDADE!D171</f>
        <v>0</v>
      </c>
      <c r="E169" s="201" t="str">
        <f>IF(D169=0,"N/A",(PROPOSTA_GLOBAL!$K$28+PROPOSTA_GLOBAL!$K$29)/PRODUTIVIDADE!$K$166*PRODUTIVIDADE!$I171)</f>
        <v>N/A</v>
      </c>
      <c r="F169" s="215" t="str">
        <f t="shared" si="15"/>
        <v>N/A</v>
      </c>
    </row>
    <row r="170" spans="1:6" ht="15.6">
      <c r="A170" s="149" t="s">
        <v>463</v>
      </c>
      <c r="B170" s="150">
        <f>PRODUTIVIDADE!B172</f>
        <v>0</v>
      </c>
      <c r="C170" s="150">
        <f>PRODUTIVIDADE!C172</f>
        <v>0</v>
      </c>
      <c r="D170" s="151">
        <f>PRODUTIVIDADE!D172</f>
        <v>0</v>
      </c>
      <c r="E170" s="201" t="str">
        <f>IF(D170=0,"N/A",(PROPOSTA_GLOBAL!$K$28+PROPOSTA_GLOBAL!$K$29)/PRODUTIVIDADE!$K$166*PRODUTIVIDADE!$I172)</f>
        <v>N/A</v>
      </c>
      <c r="F170" s="215" t="str">
        <f t="shared" si="15"/>
        <v>N/A</v>
      </c>
    </row>
    <row r="171" spans="1:6" ht="15.6">
      <c r="A171" s="149" t="s">
        <v>464</v>
      </c>
      <c r="B171" s="150">
        <f>PRODUTIVIDADE!B173</f>
        <v>5125</v>
      </c>
      <c r="C171" s="150">
        <f>PRODUTIVIDADE!C173</f>
        <v>295.60000000000002</v>
      </c>
      <c r="D171" s="151">
        <f>PRODUTIVIDADE!D173</f>
        <v>5420.6</v>
      </c>
      <c r="E171" s="201">
        <f>IF(D171=0,"N/A",(PROPOSTA_GLOBAL!$K$28+PROPOSTA_GLOBAL!$K$29)/PRODUTIVIDADE!$K$166*PRODUTIVIDADE!$I173)</f>
        <v>7051.9326695023638</v>
      </c>
      <c r="F171" s="215">
        <f t="shared" si="15"/>
        <v>1.3009505718006058</v>
      </c>
    </row>
    <row r="172" spans="1:6" ht="15.6">
      <c r="A172" s="149" t="s">
        <v>465</v>
      </c>
      <c r="B172" s="150">
        <f>PRODUTIVIDADE!B174</f>
        <v>290</v>
      </c>
      <c r="C172" s="150">
        <f>PRODUTIVIDADE!C174</f>
        <v>42</v>
      </c>
      <c r="D172" s="151">
        <f>PRODUTIVIDADE!D174</f>
        <v>332</v>
      </c>
      <c r="E172" s="201">
        <f>IF(D172=0,"N/A",(PROPOSTA_GLOBAL!$K$28+PROPOSTA_GLOBAL!$K$29)/PRODUTIVIDADE!$K$166*PRODUTIVIDADE!$I174)</f>
        <v>8334.371196499791</v>
      </c>
      <c r="F172" s="215">
        <f t="shared" si="15"/>
        <v>25.103527700300575</v>
      </c>
    </row>
    <row r="173" spans="1:6" ht="15.6">
      <c r="A173" s="147" t="s">
        <v>466</v>
      </c>
      <c r="B173" s="140">
        <f>PRODUTIVIDADE!B175</f>
        <v>1296</v>
      </c>
      <c r="C173" s="140">
        <f>PRODUTIVIDADE!C175</f>
        <v>1824</v>
      </c>
      <c r="D173" s="140">
        <f>PRODUTIVIDADE!D175</f>
        <v>3120</v>
      </c>
      <c r="E173" s="218"/>
      <c r="F173" s="214"/>
    </row>
    <row r="174" spans="1:6" ht="31.2">
      <c r="A174" s="149" t="s">
        <v>467</v>
      </c>
      <c r="B174" s="150">
        <f>PRODUTIVIDADE!B176</f>
        <v>1296</v>
      </c>
      <c r="C174" s="150">
        <f>PRODUTIVIDADE!C176</f>
        <v>1824</v>
      </c>
      <c r="D174" s="151">
        <f>PRODUTIVIDADE!D176</f>
        <v>3120</v>
      </c>
      <c r="E174" s="201">
        <f>IF(D174=0,"N/A",(PROPOSTA_GLOBAL!$K$28+PROPOSTA_GLOBAL!$K$29)/PRODUTIVIDADE!$K$166*PRODUTIVIDADE!$I176)</f>
        <v>8702.5562694375312</v>
      </c>
      <c r="F174" s="215">
        <f t="shared" si="15"/>
        <v>2.7892808555889523</v>
      </c>
    </row>
    <row r="175" spans="1:6" ht="15.6">
      <c r="A175" s="149" t="s">
        <v>468</v>
      </c>
      <c r="B175" s="150">
        <f>PRODUTIVIDADE!B177</f>
        <v>0</v>
      </c>
      <c r="C175" s="150">
        <f>PRODUTIVIDADE!C177</f>
        <v>0</v>
      </c>
      <c r="D175" s="151">
        <f>PRODUTIVIDADE!D177</f>
        <v>0</v>
      </c>
      <c r="E175" s="201" t="str">
        <f>IF(D175=0,"N/A",(PROPOSTA_GLOBAL!$K$28+PROPOSTA_GLOBAL!$K$29)/PRODUTIVIDADE!$K$166*PRODUTIVIDADE!$I177)</f>
        <v>N/A</v>
      </c>
      <c r="F175" s="215" t="str">
        <f t="shared" si="15"/>
        <v>N/A</v>
      </c>
    </row>
    <row r="176" spans="1:6" ht="15.6">
      <c r="A176" s="149" t="s">
        <v>469</v>
      </c>
      <c r="B176" s="150">
        <f>PRODUTIVIDADE!B178</f>
        <v>0</v>
      </c>
      <c r="C176" s="150">
        <f>PRODUTIVIDADE!C178</f>
        <v>0</v>
      </c>
      <c r="D176" s="151">
        <f>PRODUTIVIDADE!D178</f>
        <v>0</v>
      </c>
      <c r="E176" s="201" t="str">
        <f>IF(D176=0,"N/A",(PROPOSTA_GLOBAL!$K$28+PROPOSTA_GLOBAL!$K$29)/PRODUTIVIDADE!$K$166*PRODUTIVIDADE!$I178)</f>
        <v>N/A</v>
      </c>
      <c r="F176" s="215" t="str">
        <f t="shared" si="15"/>
        <v>N/A</v>
      </c>
    </row>
    <row r="177" spans="1:6" ht="15.6">
      <c r="A177" s="149" t="s">
        <v>470</v>
      </c>
      <c r="B177" s="150">
        <f>PRODUTIVIDADE!B179</f>
        <v>0</v>
      </c>
      <c r="C177" s="150">
        <f>PRODUTIVIDADE!C179</f>
        <v>0</v>
      </c>
      <c r="D177" s="151">
        <f>PRODUTIVIDADE!D179</f>
        <v>0</v>
      </c>
      <c r="E177" s="201" t="str">
        <f>IF(D177=0,"N/A",(PROPOSTA_GLOBAL!$K$28+PROPOSTA_GLOBAL!$K$29)/PRODUTIVIDADE!$K$166*PRODUTIVIDADE!$I179)</f>
        <v>N/A</v>
      </c>
      <c r="F177" s="215" t="str">
        <f t="shared" si="15"/>
        <v>N/A</v>
      </c>
    </row>
    <row r="178" spans="1:6" ht="15.6">
      <c r="A178" s="149" t="s">
        <v>471</v>
      </c>
      <c r="B178" s="150">
        <f>PRODUTIVIDADE!B180</f>
        <v>0</v>
      </c>
      <c r="C178" s="150">
        <f>PRODUTIVIDADE!C180</f>
        <v>0</v>
      </c>
      <c r="D178" s="151">
        <f>PRODUTIVIDADE!D180</f>
        <v>0</v>
      </c>
      <c r="E178" s="201" t="str">
        <f>IF(D178=0,"N/A",(PROPOSTA_GLOBAL!$K$28+PROPOSTA_GLOBAL!$K$29)/PRODUTIVIDADE!$K$166*PRODUTIVIDADE!$I180)</f>
        <v>N/A</v>
      </c>
      <c r="F178" s="215" t="str">
        <f t="shared" si="15"/>
        <v>N/A</v>
      </c>
    </row>
    <row r="179" spans="1:6" ht="31.2">
      <c r="A179" s="149" t="s">
        <v>472</v>
      </c>
      <c r="B179" s="150">
        <f>PRODUTIVIDADE!B181</f>
        <v>0</v>
      </c>
      <c r="C179" s="150">
        <f>PRODUTIVIDADE!C181</f>
        <v>0</v>
      </c>
      <c r="D179" s="151">
        <f>PRODUTIVIDADE!D181</f>
        <v>0</v>
      </c>
      <c r="E179" s="201" t="str">
        <f>IF(D179=0,"N/A",(PROPOSTA_GLOBAL!$K$28+PROPOSTA_GLOBAL!$K$29)/PRODUTIVIDADE!$K$166*PRODUTIVIDADE!$I181)</f>
        <v>N/A</v>
      </c>
      <c r="F179" s="215" t="str">
        <f t="shared" si="15"/>
        <v>N/A</v>
      </c>
    </row>
    <row r="180" spans="1:6" ht="15.6">
      <c r="A180" s="147" t="s">
        <v>439</v>
      </c>
      <c r="B180" s="140">
        <f>PRODUTIVIDADE!B182</f>
        <v>1228.67</v>
      </c>
      <c r="C180" s="140">
        <f>PRODUTIVIDADE!C182</f>
        <v>250</v>
      </c>
      <c r="D180" s="140">
        <f>PRODUTIVIDADE!D182</f>
        <v>1478.67</v>
      </c>
      <c r="E180" s="218"/>
      <c r="F180" s="214"/>
    </row>
    <row r="181" spans="1:6" ht="15.6">
      <c r="A181" s="149" t="s">
        <v>440</v>
      </c>
      <c r="B181" s="150">
        <f>PRODUTIVIDADE!B183</f>
        <v>0</v>
      </c>
      <c r="C181" s="150">
        <f>PRODUTIVIDADE!C183</f>
        <v>0</v>
      </c>
      <c r="D181" s="151">
        <f>PRODUTIVIDADE!D183</f>
        <v>0</v>
      </c>
      <c r="E181" s="201" t="str">
        <f>IF(D181=0,"N/A",(PROPOSTA_GLOBAL!$K$28+PROPOSTA_GLOBAL!$K$29)/PRODUTIVIDADE!$K$166*PRODUTIVIDADE!$I183)</f>
        <v>N/A</v>
      </c>
      <c r="F181" s="215" t="str">
        <f t="shared" si="15"/>
        <v>N/A</v>
      </c>
    </row>
    <row r="182" spans="1:6" ht="15.6">
      <c r="A182" s="149" t="s">
        <v>473</v>
      </c>
      <c r="B182" s="150">
        <f>PRODUTIVIDADE!B184</f>
        <v>307.17</v>
      </c>
      <c r="C182" s="150">
        <f>PRODUTIVIDADE!C184</f>
        <v>125</v>
      </c>
      <c r="D182" s="151">
        <f>PRODUTIVIDADE!D184</f>
        <v>432.17</v>
      </c>
      <c r="E182" s="201">
        <f>IF(D182=0,"N/A",(PROPOSTA_GLOBAL!$K$28+PROPOSTA_GLOBAL!$K$29)/PRODUTIVIDADE!$K$166*PRODUTIVIDADE!$I184)</f>
        <v>1.8478857342878598</v>
      </c>
      <c r="F182" s="215">
        <f t="shared" si="15"/>
        <v>4.2758306552695925E-3</v>
      </c>
    </row>
    <row r="183" spans="1:6" ht="15.6">
      <c r="A183" s="149" t="s">
        <v>474</v>
      </c>
      <c r="B183" s="150">
        <f>PRODUTIVIDADE!B185</f>
        <v>921.5</v>
      </c>
      <c r="C183" s="150">
        <f>PRODUTIVIDADE!C185</f>
        <v>125</v>
      </c>
      <c r="D183" s="151">
        <f>PRODUTIVIDADE!D185</f>
        <v>1046.5</v>
      </c>
      <c r="E183" s="201">
        <f>IF(D183=0,"N/A",(PROPOSTA_GLOBAL!$K$28+PROPOSTA_GLOBAL!$K$29)/PRODUTIVIDADE!$K$166*PRODUTIVIDADE!$I185)</f>
        <v>1.8478857342878598</v>
      </c>
      <c r="F183" s="215">
        <f t="shared" si="15"/>
        <v>1.765777099176168E-3</v>
      </c>
    </row>
    <row r="184" spans="1:6" ht="15.6">
      <c r="A184" s="155" t="s">
        <v>441</v>
      </c>
      <c r="B184" s="140">
        <f>PRODUTIVIDADE!B186</f>
        <v>0</v>
      </c>
      <c r="C184" s="140">
        <f>PRODUTIVIDADE!C186</f>
        <v>0</v>
      </c>
      <c r="D184" s="140">
        <f>PRODUTIVIDADE!D186</f>
        <v>0</v>
      </c>
      <c r="E184" s="218"/>
      <c r="F184" s="214"/>
    </row>
    <row r="185" spans="1:6" ht="15.6">
      <c r="A185" s="156" t="s">
        <v>442</v>
      </c>
      <c r="B185" s="150">
        <f>PRODUTIVIDADE!B187</f>
        <v>0</v>
      </c>
      <c r="C185" s="150">
        <f>PRODUTIVIDADE!C187</f>
        <v>0</v>
      </c>
      <c r="D185" s="151">
        <f>PRODUTIVIDADE!D187</f>
        <v>0</v>
      </c>
      <c r="E185" s="201" t="str">
        <f>IF(D185=0,"N/A",(PROPOSTA_GLOBAL!$K$28+PROPOSTA_GLOBAL!$K$29)/PRODUTIVIDADE!$K$166*PRODUTIVIDADE!$I187)</f>
        <v>N/A</v>
      </c>
      <c r="F185" s="215" t="str">
        <f t="shared" si="15"/>
        <v>N/A</v>
      </c>
    </row>
    <row r="186" spans="1:6" ht="15.6">
      <c r="A186" s="157" t="s">
        <v>475</v>
      </c>
      <c r="B186" s="140">
        <f>PRODUTIVIDADE!B188</f>
        <v>9508.9699999999993</v>
      </c>
      <c r="C186" s="140">
        <f>PRODUTIVIDADE!C188</f>
        <v>2983.6</v>
      </c>
      <c r="D186" s="140">
        <f>PRODUTIVIDADE!D188</f>
        <v>12492.570000000002</v>
      </c>
      <c r="E186" s="219">
        <f>SUM(E165:E185)</f>
        <v>33909.189999999995</v>
      </c>
      <c r="F186" s="215"/>
    </row>
    <row r="187" spans="1:6" ht="15.6">
      <c r="A187" s="162"/>
      <c r="B187" s="163"/>
      <c r="C187" s="163"/>
      <c r="D187" s="163"/>
      <c r="E187" s="163"/>
      <c r="F187" s="217"/>
    </row>
    <row r="188" spans="1:6" ht="15.6">
      <c r="A188" s="478" t="str">
        <f>PRODUTIVIDADE!A190</f>
        <v>PONTA GROSSA (37357468 E 39268999)</v>
      </c>
      <c r="B188" s="478"/>
      <c r="C188" s="466" t="s">
        <v>444</v>
      </c>
      <c r="D188" s="467"/>
      <c r="E188" s="474" t="s">
        <v>494</v>
      </c>
      <c r="F188" s="475" t="s">
        <v>495</v>
      </c>
    </row>
    <row r="189" spans="1:6" ht="15.6">
      <c r="A189" s="478"/>
      <c r="B189" s="478"/>
      <c r="C189" s="146" t="s">
        <v>487</v>
      </c>
      <c r="D189" s="142" t="s">
        <v>448</v>
      </c>
      <c r="E189" s="474"/>
      <c r="F189" s="475"/>
    </row>
    <row r="190" spans="1:6" ht="15.6">
      <c r="A190" s="479" t="s">
        <v>457</v>
      </c>
      <c r="B190" s="479"/>
      <c r="C190" s="140">
        <f>PRODUTIVIDADE!B192</f>
        <v>1513.35</v>
      </c>
      <c r="D190" s="140">
        <f>PRODUTIVIDADE!C192</f>
        <v>1513.35</v>
      </c>
      <c r="E190" s="474"/>
      <c r="F190" s="475"/>
    </row>
    <row r="191" spans="1:6" ht="15.6">
      <c r="A191" s="480" t="s">
        <v>458</v>
      </c>
      <c r="B191" s="480"/>
      <c r="C191" s="150">
        <f>PRODUTIVIDADE!B193</f>
        <v>0</v>
      </c>
      <c r="D191" s="151">
        <f>PRODUTIVIDADE!C193</f>
        <v>0</v>
      </c>
      <c r="E191" s="215" t="str">
        <f>IF(D191=0,"N/A",((PROPOSTA_GLOBAL!$K$30+PROPOSTA_GLOBAL!$K$31)/PRODUTIVIDADE!$J$192*PRODUTIVIDADE!H193))</f>
        <v>N/A</v>
      </c>
      <c r="F191" s="215" t="str">
        <f t="shared" ref="F191:F198" si="16">IF(D191=0,"N/A",E191/D191)</f>
        <v>N/A</v>
      </c>
    </row>
    <row r="192" spans="1:6" ht="15.6">
      <c r="A192" s="480" t="s">
        <v>459</v>
      </c>
      <c r="B192" s="480"/>
      <c r="C192" s="150">
        <f>PRODUTIVIDADE!B194</f>
        <v>1203.06</v>
      </c>
      <c r="D192" s="151">
        <f>PRODUTIVIDADE!C194</f>
        <v>1203.06</v>
      </c>
      <c r="E192" s="215">
        <f>IF(D192=0,"N/A",((PROPOSTA_GLOBAL!$K$30+PROPOSTA_GLOBAL!$K$31)/PRODUTIVIDADE!$J$192*PRODUTIVIDADE!H194))</f>
        <v>10959.076133315944</v>
      </c>
      <c r="F192" s="215">
        <f t="shared" si="16"/>
        <v>9.1093346410951614</v>
      </c>
    </row>
    <row r="193" spans="1:6" ht="15.6">
      <c r="A193" s="480" t="s">
        <v>460</v>
      </c>
      <c r="B193" s="480"/>
      <c r="C193" s="150">
        <f>PRODUTIVIDADE!B195</f>
        <v>0</v>
      </c>
      <c r="D193" s="151">
        <f>PRODUTIVIDADE!C195</f>
        <v>0</v>
      </c>
      <c r="E193" s="215" t="str">
        <f>IF(D193=0,"N/A",((PROPOSTA_GLOBAL!$K$30+PROPOSTA_GLOBAL!$K$31)/PRODUTIVIDADE!$J$192*PRODUTIVIDADE!H195))</f>
        <v>N/A</v>
      </c>
      <c r="F193" s="215" t="str">
        <f t="shared" si="16"/>
        <v>N/A</v>
      </c>
    </row>
    <row r="194" spans="1:6" ht="15.6">
      <c r="A194" s="480" t="s">
        <v>461</v>
      </c>
      <c r="B194" s="480"/>
      <c r="C194" s="150">
        <f>PRODUTIVIDADE!B196</f>
        <v>291.7</v>
      </c>
      <c r="D194" s="151">
        <f>PRODUTIVIDADE!C196</f>
        <v>291.7</v>
      </c>
      <c r="E194" s="215">
        <f>IF(D194=0,"N/A",((PROPOSTA_GLOBAL!$K$30+PROPOSTA_GLOBAL!$K$31)/PRODUTIVIDADE!$J$192*PRODUTIVIDADE!H196))</f>
        <v>1180.9746288033148</v>
      </c>
      <c r="F194" s="215">
        <f t="shared" si="16"/>
        <v>4.0485931738200716</v>
      </c>
    </row>
    <row r="195" spans="1:6" ht="15.6">
      <c r="A195" s="480" t="s">
        <v>462</v>
      </c>
      <c r="B195" s="480"/>
      <c r="C195" s="150">
        <f>PRODUTIVIDADE!B197</f>
        <v>0</v>
      </c>
      <c r="D195" s="151">
        <f>PRODUTIVIDADE!C197</f>
        <v>0</v>
      </c>
      <c r="E195" s="215" t="str">
        <f>IF(D195=0,"N/A",((PROPOSTA_GLOBAL!$K$30+PROPOSTA_GLOBAL!$K$31)/PRODUTIVIDADE!$J$192*PRODUTIVIDADE!H197))</f>
        <v>N/A</v>
      </c>
      <c r="F195" s="215" t="str">
        <f t="shared" si="16"/>
        <v>N/A</v>
      </c>
    </row>
    <row r="196" spans="1:6" ht="15.6">
      <c r="A196" s="480" t="s">
        <v>463</v>
      </c>
      <c r="B196" s="480"/>
      <c r="C196" s="150">
        <f>PRODUTIVIDADE!B198</f>
        <v>0</v>
      </c>
      <c r="D196" s="151">
        <f>PRODUTIVIDADE!C198</f>
        <v>0</v>
      </c>
      <c r="E196" s="215" t="str">
        <f>IF(D196=0,"N/A",((PROPOSTA_GLOBAL!$K$30+PROPOSTA_GLOBAL!$K$31)/PRODUTIVIDADE!$J$192*PRODUTIVIDADE!H198))</f>
        <v>N/A</v>
      </c>
      <c r="F196" s="215" t="str">
        <f t="shared" si="16"/>
        <v>N/A</v>
      </c>
    </row>
    <row r="197" spans="1:6" ht="15.6">
      <c r="A197" s="480" t="s">
        <v>464</v>
      </c>
      <c r="B197" s="480"/>
      <c r="C197" s="150">
        <f>PRODUTIVIDADE!B199</f>
        <v>0</v>
      </c>
      <c r="D197" s="151">
        <f>PRODUTIVIDADE!C199</f>
        <v>0</v>
      </c>
      <c r="E197" s="215" t="str">
        <f>IF(D197=0,"N/A",((PROPOSTA_GLOBAL!$K$30+PROPOSTA_GLOBAL!$K$31)/PRODUTIVIDADE!$J$192*PRODUTIVIDADE!H199))</f>
        <v>N/A</v>
      </c>
      <c r="F197" s="215" t="str">
        <f t="shared" si="16"/>
        <v>N/A</v>
      </c>
    </row>
    <row r="198" spans="1:6" ht="15.6">
      <c r="A198" s="480" t="s">
        <v>465</v>
      </c>
      <c r="B198" s="480"/>
      <c r="C198" s="150">
        <f>PRODUTIVIDADE!B200</f>
        <v>18.59</v>
      </c>
      <c r="D198" s="151">
        <f>PRODUTIVIDADE!C200</f>
        <v>18.59</v>
      </c>
      <c r="E198" s="215">
        <f>IF(D198=0,"N/A",((PROPOSTA_GLOBAL!$K$30+PROPOSTA_GLOBAL!$K$31)/PRODUTIVIDADE!$J$192*PRODUTIVIDADE!H200))</f>
        <v>677.37012391183623</v>
      </c>
      <c r="F198" s="215">
        <f t="shared" si="16"/>
        <v>36.437338564380646</v>
      </c>
    </row>
    <row r="199" spans="1:6" ht="15.6">
      <c r="A199" s="479" t="s">
        <v>466</v>
      </c>
      <c r="B199" s="479"/>
      <c r="C199" s="140">
        <f>PRODUTIVIDADE!B201</f>
        <v>1311.45</v>
      </c>
      <c r="D199" s="140">
        <f>PRODUTIVIDADE!C201</f>
        <v>1311.45</v>
      </c>
      <c r="E199" s="218"/>
      <c r="F199" s="214"/>
    </row>
    <row r="200" spans="1:6" ht="15.6">
      <c r="A200" s="480" t="s">
        <v>467</v>
      </c>
      <c r="B200" s="480"/>
      <c r="C200" s="150">
        <f>PRODUTIVIDADE!B202</f>
        <v>0</v>
      </c>
      <c r="D200" s="151">
        <f>PRODUTIVIDADE!C202</f>
        <v>0</v>
      </c>
      <c r="E200" s="215" t="str">
        <f>IF(D200=0,"N/A",((PROPOSTA_GLOBAL!$K$30+PROPOSTA_GLOBAL!$K$31)/PRODUTIVIDADE!$J$192*PRODUTIVIDADE!H202))</f>
        <v>N/A</v>
      </c>
      <c r="F200" s="215" t="str">
        <f t="shared" ref="F200:F205" si="17">IF(D200=0,"N/A",E200/D200)</f>
        <v>N/A</v>
      </c>
    </row>
    <row r="201" spans="1:6" ht="15.6">
      <c r="A201" s="480" t="s">
        <v>468</v>
      </c>
      <c r="B201" s="480"/>
      <c r="C201" s="150">
        <f>PRODUTIVIDADE!B203</f>
        <v>1311.45</v>
      </c>
      <c r="D201" s="151">
        <f>PRODUTIVIDADE!C203</f>
        <v>1311.45</v>
      </c>
      <c r="E201" s="215">
        <f>IF(D201=0,"N/A",((PROPOSTA_GLOBAL!$K$30+PROPOSTA_GLOBAL!$K$31)/PRODUTIVIDADE!$J$192*PRODUTIVIDADE!H203))</f>
        <v>1769.8425059354445</v>
      </c>
      <c r="F201" s="215">
        <f t="shared" si="17"/>
        <v>1.3495310579400239</v>
      </c>
    </row>
    <row r="202" spans="1:6" ht="15.6">
      <c r="A202" s="480" t="s">
        <v>469</v>
      </c>
      <c r="B202" s="480"/>
      <c r="C202" s="150">
        <f>PRODUTIVIDADE!B204</f>
        <v>0</v>
      </c>
      <c r="D202" s="151">
        <f>PRODUTIVIDADE!C204</f>
        <v>0</v>
      </c>
      <c r="E202" s="215" t="str">
        <f>IF(D202=0,"N/A",((PROPOSTA_GLOBAL!$K$30+PROPOSTA_GLOBAL!$K$31)/PRODUTIVIDADE!$J$192*PRODUTIVIDADE!H204))</f>
        <v>N/A</v>
      </c>
      <c r="F202" s="215" t="str">
        <f t="shared" si="17"/>
        <v>N/A</v>
      </c>
    </row>
    <row r="203" spans="1:6" ht="15.6">
      <c r="A203" s="480" t="s">
        <v>470</v>
      </c>
      <c r="B203" s="480"/>
      <c r="C203" s="150">
        <f>PRODUTIVIDADE!B205</f>
        <v>0</v>
      </c>
      <c r="D203" s="151">
        <f>PRODUTIVIDADE!C205</f>
        <v>0</v>
      </c>
      <c r="E203" s="215" t="str">
        <f>IF(D203=0,"N/A",((PROPOSTA_GLOBAL!$K$30+PROPOSTA_GLOBAL!$K$31)/PRODUTIVIDADE!$J$192*PRODUTIVIDADE!H205))</f>
        <v>N/A</v>
      </c>
      <c r="F203" s="215" t="str">
        <f t="shared" si="17"/>
        <v>N/A</v>
      </c>
    </row>
    <row r="204" spans="1:6" ht="15.6">
      <c r="A204" s="480" t="s">
        <v>471</v>
      </c>
      <c r="B204" s="480"/>
      <c r="C204" s="150">
        <f>PRODUTIVIDADE!B206</f>
        <v>0</v>
      </c>
      <c r="D204" s="151">
        <f>PRODUTIVIDADE!C206</f>
        <v>0</v>
      </c>
      <c r="E204" s="215" t="str">
        <f>IF(D204=0,"N/A",((PROPOSTA_GLOBAL!$K$30+PROPOSTA_GLOBAL!$K$31)/PRODUTIVIDADE!$J$192*PRODUTIVIDADE!H206))</f>
        <v>N/A</v>
      </c>
      <c r="F204" s="215" t="str">
        <f t="shared" si="17"/>
        <v>N/A</v>
      </c>
    </row>
    <row r="205" spans="1:6" ht="15.6">
      <c r="A205" s="480" t="s">
        <v>472</v>
      </c>
      <c r="B205" s="480"/>
      <c r="C205" s="150">
        <f>PRODUTIVIDADE!B207</f>
        <v>0</v>
      </c>
      <c r="D205" s="151">
        <f>PRODUTIVIDADE!C207</f>
        <v>0</v>
      </c>
      <c r="E205" s="215" t="str">
        <f>IF(D205=0,"N/A",((PROPOSTA_GLOBAL!$K$30+PROPOSTA_GLOBAL!$K$31)/PRODUTIVIDADE!$J$192*PRODUTIVIDADE!H207))</f>
        <v>N/A</v>
      </c>
      <c r="F205" s="215" t="str">
        <f t="shared" si="17"/>
        <v>N/A</v>
      </c>
    </row>
    <row r="206" spans="1:6" ht="15.6">
      <c r="A206" s="479" t="s">
        <v>439</v>
      </c>
      <c r="B206" s="479"/>
      <c r="C206" s="140">
        <f>PRODUTIVIDADE!B208</f>
        <v>251.1</v>
      </c>
      <c r="D206" s="140">
        <f>PRODUTIVIDADE!C208</f>
        <v>251.1</v>
      </c>
      <c r="E206" s="218"/>
      <c r="F206" s="214"/>
    </row>
    <row r="207" spans="1:6" ht="15.6">
      <c r="A207" s="480" t="s">
        <v>440</v>
      </c>
      <c r="B207" s="480"/>
      <c r="C207" s="150">
        <f>PRODUTIVIDADE!B209</f>
        <v>0</v>
      </c>
      <c r="D207" s="151">
        <f>PRODUTIVIDADE!C209</f>
        <v>0</v>
      </c>
      <c r="E207" s="215" t="str">
        <f>IF(D207=0,"N/A",((PROPOSTA_GLOBAL!$K$30+PROPOSTA_GLOBAL!$K$31)/PRODUTIVIDADE!$J$192*PRODUTIVIDADE!H209))</f>
        <v>N/A</v>
      </c>
      <c r="F207" s="215" t="str">
        <f>IF(D207=0,"N/A",E207/D207)</f>
        <v>N/A</v>
      </c>
    </row>
    <row r="208" spans="1:6" ht="15.6">
      <c r="A208" s="480" t="s">
        <v>473</v>
      </c>
      <c r="B208" s="480"/>
      <c r="C208" s="150">
        <f>PRODUTIVIDADE!B210</f>
        <v>0</v>
      </c>
      <c r="D208" s="151">
        <f>PRODUTIVIDADE!C210</f>
        <v>0</v>
      </c>
      <c r="E208" s="215" t="str">
        <f>IF(D208=0,"N/A",((PROPOSTA_GLOBAL!$K$30+PROPOSTA_GLOBAL!$K$31)/PRODUTIVIDADE!$J$192*PRODUTIVIDADE!H210))</f>
        <v>N/A</v>
      </c>
      <c r="F208" s="215" t="str">
        <f>IF(D208=0,"N/A",E208/D208)</f>
        <v>N/A</v>
      </c>
    </row>
    <row r="209" spans="1:6" ht="15.6">
      <c r="A209" s="480" t="s">
        <v>474</v>
      </c>
      <c r="B209" s="480"/>
      <c r="C209" s="150">
        <f>PRODUTIVIDADE!B211</f>
        <v>251.1</v>
      </c>
      <c r="D209" s="151">
        <f>PRODUTIVIDADE!C211</f>
        <v>251.1</v>
      </c>
      <c r="E209" s="215">
        <f>IF(D209=0,"N/A",((PROPOSTA_GLOBAL!$K$30+PROPOSTA_GLOBAL!$K$31)/PRODUTIVIDADE!$J$192*PRODUTIVIDADE!H211))</f>
        <v>2.5166080334545904</v>
      </c>
      <c r="F209" s="215">
        <f>IF(D209=0,"N/A",E209/D209)</f>
        <v>1.0022333864813184E-2</v>
      </c>
    </row>
    <row r="210" spans="1:6" ht="15.6">
      <c r="A210" s="479" t="s">
        <v>441</v>
      </c>
      <c r="B210" s="479"/>
      <c r="C210" s="140">
        <f>PRODUTIVIDADE!B212</f>
        <v>0</v>
      </c>
      <c r="D210" s="140">
        <f>PRODUTIVIDADE!C212</f>
        <v>0</v>
      </c>
      <c r="E210" s="218"/>
      <c r="F210" s="214"/>
    </row>
    <row r="211" spans="1:6" ht="15.6">
      <c r="A211" s="480" t="s">
        <v>442</v>
      </c>
      <c r="B211" s="480"/>
      <c r="C211" s="150">
        <f>PRODUTIVIDADE!B213</f>
        <v>0</v>
      </c>
      <c r="D211" s="151">
        <f>PRODUTIVIDADE!C213</f>
        <v>0</v>
      </c>
      <c r="E211" s="215" t="str">
        <f>IF(D211=0,"N/A",((PROPOSTA_GLOBAL!$K$30+PROPOSTA_GLOBAL!$K$31)/PRODUTIVIDADE!$J$192*PRODUTIVIDADE!H213))</f>
        <v>N/A</v>
      </c>
      <c r="F211" s="215" t="str">
        <f>IF(D211=0,"N/A",E211/D211)</f>
        <v>N/A</v>
      </c>
    </row>
    <row r="212" spans="1:6" ht="15.6">
      <c r="A212" s="479" t="s">
        <v>475</v>
      </c>
      <c r="B212" s="479"/>
      <c r="C212" s="140">
        <f>PRODUTIVIDADE!B214</f>
        <v>3075.9</v>
      </c>
      <c r="D212" s="140">
        <f>PRODUTIVIDADE!C214</f>
        <v>3075.9</v>
      </c>
      <c r="E212" s="201">
        <f>SUM(E191:E211)</f>
        <v>14589.779999999995</v>
      </c>
      <c r="F212" s="215"/>
    </row>
  </sheetData>
  <mergeCells count="177">
    <mergeCell ref="A35:B35"/>
    <mergeCell ref="A36:B36"/>
    <mergeCell ref="A37:B37"/>
    <mergeCell ref="A38:B38"/>
    <mergeCell ref="A39:B39"/>
    <mergeCell ref="A40:B40"/>
    <mergeCell ref="A41:B41"/>
    <mergeCell ref="A76:B76"/>
    <mergeCell ref="A77:B77"/>
    <mergeCell ref="A70:B70"/>
    <mergeCell ref="A58:B59"/>
    <mergeCell ref="A71:B71"/>
    <mergeCell ref="A54:B54"/>
    <mergeCell ref="A55:B55"/>
    <mergeCell ref="A56:B56"/>
    <mergeCell ref="A48:B48"/>
    <mergeCell ref="A49:B49"/>
    <mergeCell ref="A50:B50"/>
    <mergeCell ref="A51:B51"/>
    <mergeCell ref="A52:B52"/>
    <mergeCell ref="A53:B53"/>
    <mergeCell ref="A69:B69"/>
    <mergeCell ref="A60:B60"/>
    <mergeCell ref="A61:B61"/>
    <mergeCell ref="A42:B42"/>
    <mergeCell ref="A43:B43"/>
    <mergeCell ref="A44:B44"/>
    <mergeCell ref="A45:B45"/>
    <mergeCell ref="A46:B46"/>
    <mergeCell ref="A47:B47"/>
    <mergeCell ref="A82:B82"/>
    <mergeCell ref="A78:B78"/>
    <mergeCell ref="A79:B79"/>
    <mergeCell ref="A80:B80"/>
    <mergeCell ref="A81:B81"/>
    <mergeCell ref="A62:B62"/>
    <mergeCell ref="A63:B63"/>
    <mergeCell ref="A72:B72"/>
    <mergeCell ref="A73:B73"/>
    <mergeCell ref="A74:B74"/>
    <mergeCell ref="A75:B75"/>
    <mergeCell ref="A64:B64"/>
    <mergeCell ref="A65:B65"/>
    <mergeCell ref="A66:B66"/>
    <mergeCell ref="A67:B67"/>
    <mergeCell ref="A68:B68"/>
    <mergeCell ref="A129:B129"/>
    <mergeCell ref="A130:B130"/>
    <mergeCell ref="A131:B131"/>
    <mergeCell ref="A120:B120"/>
    <mergeCell ref="A121:B121"/>
    <mergeCell ref="A122:B122"/>
    <mergeCell ref="A123:B123"/>
    <mergeCell ref="A124:B124"/>
    <mergeCell ref="A125:B125"/>
    <mergeCell ref="A87:B87"/>
    <mergeCell ref="A88:B88"/>
    <mergeCell ref="A89:B89"/>
    <mergeCell ref="A90:B90"/>
    <mergeCell ref="A91:B91"/>
    <mergeCell ref="A126:B126"/>
    <mergeCell ref="A127:B127"/>
    <mergeCell ref="A104:B104"/>
    <mergeCell ref="A105:B105"/>
    <mergeCell ref="A106:B106"/>
    <mergeCell ref="A107:B107"/>
    <mergeCell ref="A108:B108"/>
    <mergeCell ref="A102:B102"/>
    <mergeCell ref="A103:B103"/>
    <mergeCell ref="A98:B98"/>
    <mergeCell ref="A99:B99"/>
    <mergeCell ref="A100:B100"/>
    <mergeCell ref="A101:B101"/>
    <mergeCell ref="A92:B92"/>
    <mergeCell ref="A93:B93"/>
    <mergeCell ref="A94:B94"/>
    <mergeCell ref="A95:B95"/>
    <mergeCell ref="A96:B96"/>
    <mergeCell ref="A97:B97"/>
    <mergeCell ref="A209:B209"/>
    <mergeCell ref="A211:B211"/>
    <mergeCell ref="A206:B206"/>
    <mergeCell ref="A210:B210"/>
    <mergeCell ref="A212:B212"/>
    <mergeCell ref="A207:B207"/>
    <mergeCell ref="A208:B208"/>
    <mergeCell ref="A160:B160"/>
    <mergeCell ref="A110:B111"/>
    <mergeCell ref="A112:B112"/>
    <mergeCell ref="A113:B113"/>
    <mergeCell ref="A114:B114"/>
    <mergeCell ref="A115:B115"/>
    <mergeCell ref="A116:B116"/>
    <mergeCell ref="A117:B117"/>
    <mergeCell ref="A118:B118"/>
    <mergeCell ref="A119:B119"/>
    <mergeCell ref="A154:B154"/>
    <mergeCell ref="A155:B155"/>
    <mergeCell ref="A156:B156"/>
    <mergeCell ref="A157:B157"/>
    <mergeCell ref="A158:B158"/>
    <mergeCell ref="A159:B159"/>
    <mergeCell ref="A148:B148"/>
    <mergeCell ref="A205:B205"/>
    <mergeCell ref="A196:B196"/>
    <mergeCell ref="A197:B197"/>
    <mergeCell ref="A198:B198"/>
    <mergeCell ref="A199:B199"/>
    <mergeCell ref="A200:B200"/>
    <mergeCell ref="A201:B201"/>
    <mergeCell ref="A190:B190"/>
    <mergeCell ref="A191:B191"/>
    <mergeCell ref="A192:B192"/>
    <mergeCell ref="A193:B193"/>
    <mergeCell ref="A194:B194"/>
    <mergeCell ref="A195:B195"/>
    <mergeCell ref="A202:B202"/>
    <mergeCell ref="A203:B203"/>
    <mergeCell ref="A204:B204"/>
    <mergeCell ref="A144:B144"/>
    <mergeCell ref="A145:B145"/>
    <mergeCell ref="A146:B146"/>
    <mergeCell ref="A147:B147"/>
    <mergeCell ref="A149:B149"/>
    <mergeCell ref="A150:B150"/>
    <mergeCell ref="A151:B151"/>
    <mergeCell ref="A152:B152"/>
    <mergeCell ref="A153:B153"/>
    <mergeCell ref="E136:E138"/>
    <mergeCell ref="F136:F138"/>
    <mergeCell ref="E162:E164"/>
    <mergeCell ref="F162:F164"/>
    <mergeCell ref="E188:E190"/>
    <mergeCell ref="F188:F190"/>
    <mergeCell ref="E58:E60"/>
    <mergeCell ref="F58:F60"/>
    <mergeCell ref="E84:E86"/>
    <mergeCell ref="F84:F86"/>
    <mergeCell ref="E110:E112"/>
    <mergeCell ref="F110:F112"/>
    <mergeCell ref="A188:B189"/>
    <mergeCell ref="A162:A163"/>
    <mergeCell ref="B162:D162"/>
    <mergeCell ref="A6:A7"/>
    <mergeCell ref="B6:D6"/>
    <mergeCell ref="C32:D32"/>
    <mergeCell ref="C58:D58"/>
    <mergeCell ref="C84:D84"/>
    <mergeCell ref="C110:D110"/>
    <mergeCell ref="C136:D136"/>
    <mergeCell ref="C188:D188"/>
    <mergeCell ref="A136:B137"/>
    <mergeCell ref="A138:B138"/>
    <mergeCell ref="A139:B139"/>
    <mergeCell ref="A140:B140"/>
    <mergeCell ref="A141:B141"/>
    <mergeCell ref="A142:B142"/>
    <mergeCell ref="A143:B143"/>
    <mergeCell ref="A132:B132"/>
    <mergeCell ref="A133:B133"/>
    <mergeCell ref="A134:B134"/>
    <mergeCell ref="A128:B128"/>
    <mergeCell ref="A84:B85"/>
    <mergeCell ref="A86:B86"/>
    <mergeCell ref="A1:J1"/>
    <mergeCell ref="E6:E8"/>
    <mergeCell ref="F6:F8"/>
    <mergeCell ref="G6:G8"/>
    <mergeCell ref="H6:H8"/>
    <mergeCell ref="I6:I8"/>
    <mergeCell ref="J6:J8"/>
    <mergeCell ref="E32:E34"/>
    <mergeCell ref="F32:F34"/>
    <mergeCell ref="A32:B33"/>
    <mergeCell ref="A34:B34"/>
    <mergeCell ref="A3:J3"/>
    <mergeCell ref="A4:J4"/>
  </mergeCells>
  <conditionalFormatting sqref="A8:D30 A138:A161 A187:E187 A190:A214">
    <cfRule type="expression" dxfId="8" priority="14">
      <formula>A8&lt;&gt;#REF!</formula>
    </cfRule>
  </conditionalFormatting>
  <conditionalFormatting sqref="A31:K31 A34:A56 C34:D56 A57:K57 A60:A82 C60:D82 A86:A108 C86:D108 A112:A134 C112:D134 C138:D160 B161:E161 C190:D212 B213:E214">
    <cfRule type="expression" dxfId="7" priority="16">
      <formula>A31&lt;&gt;#REF!</formula>
    </cfRule>
  </conditionalFormatting>
  <conditionalFormatting sqref="B7:C7">
    <cfRule type="expression" dxfId="6" priority="15">
      <formula>B7&lt;&gt;#REF!</formula>
    </cfRule>
  </conditionalFormatting>
  <conditionalFormatting sqref="B163:C163">
    <cfRule type="expression" dxfId="5" priority="8">
      <formula>B163&lt;&gt;#REF!</formula>
    </cfRule>
  </conditionalFormatting>
  <conditionalFormatting sqref="C33 C111 A164:D186">
    <cfRule type="expression" dxfId="4" priority="10">
      <formula>A33&lt;&gt;#REF!</formula>
    </cfRule>
  </conditionalFormatting>
  <conditionalFormatting sqref="C59">
    <cfRule type="expression" dxfId="3" priority="13">
      <formula>C59&lt;&gt;#REF!</formula>
    </cfRule>
  </conditionalFormatting>
  <conditionalFormatting sqref="C85">
    <cfRule type="expression" dxfId="2" priority="11">
      <formula>C85&lt;&gt;#REF!</formula>
    </cfRule>
  </conditionalFormatting>
  <conditionalFormatting sqref="C137">
    <cfRule type="expression" dxfId="1" priority="9">
      <formula>C137&lt;&gt;#REF!</formula>
    </cfRule>
  </conditionalFormatting>
  <conditionalFormatting sqref="C189">
    <cfRule type="expression" dxfId="0" priority="7">
      <formula>C189&lt;&gt;#REF!</formula>
    </cfRule>
  </conditionalFormatting>
  <printOptions horizontalCentered="1"/>
  <pageMargins left="0.118110236220472" right="0.118110236220472" top="0.39370078740157499" bottom="0.39370078740157499" header="0.31496062992126" footer="0.31496062992126"/>
  <pageSetup paperSize="8" scale="81" fitToHeight="0" orientation="landscape" r:id="rId1"/>
  <headerFooter>
    <oddFooter>&amp;C&amp;A
&amp;P de &amp;N</oddFooter>
  </headerFooter>
  <rowBreaks count="7" manualBreakCount="7">
    <brk id="31" max="9" man="1"/>
    <brk id="57" max="9" man="1"/>
    <brk id="83" max="9" man="1"/>
    <brk id="109" max="9" man="1"/>
    <brk id="135" max="9" man="1"/>
    <brk id="161" max="9" man="1"/>
    <brk id="186"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5D422-D2F4-400F-8B4B-22355F9FE9D6}">
  <sheetPr>
    <pageSetUpPr fitToPage="1"/>
  </sheetPr>
  <dimension ref="A1:F85"/>
  <sheetViews>
    <sheetView view="pageBreakPreview" zoomScaleNormal="80" zoomScaleSheetLayoutView="100" workbookViewId="0">
      <selection sqref="A1:F2"/>
    </sheetView>
  </sheetViews>
  <sheetFormatPr defaultColWidth="8.5546875" defaultRowHeight="15.6"/>
  <cols>
    <col min="1" max="1" width="29.5546875" style="1" customWidth="1"/>
    <col min="2" max="2" width="9" style="1" bestFit="1" customWidth="1"/>
    <col min="3" max="3" width="8.5546875" style="1" bestFit="1" customWidth="1"/>
    <col min="4" max="4" width="9.5546875" style="1" customWidth="1"/>
    <col min="5" max="5" width="8.88671875" style="1" bestFit="1" customWidth="1"/>
    <col min="6" max="6" width="89.5546875" style="1" customWidth="1"/>
    <col min="7" max="16384" width="8.5546875" style="1"/>
  </cols>
  <sheetData>
    <row r="1" spans="1:6">
      <c r="A1" s="320" t="s">
        <v>10</v>
      </c>
      <c r="B1" s="320"/>
      <c r="C1" s="320"/>
      <c r="D1" s="320"/>
      <c r="E1" s="320"/>
      <c r="F1" s="320"/>
    </row>
    <row r="2" spans="1:6">
      <c r="A2" s="320"/>
      <c r="B2" s="320"/>
      <c r="C2" s="320"/>
      <c r="D2" s="320"/>
      <c r="E2" s="320"/>
      <c r="F2" s="320"/>
    </row>
    <row r="3" spans="1:6" ht="9" customHeight="1">
      <c r="A3" s="342"/>
      <c r="B3" s="342"/>
      <c r="C3" s="342"/>
      <c r="D3" s="342"/>
      <c r="E3" s="342"/>
      <c r="F3" s="342"/>
    </row>
    <row r="4" spans="1:6">
      <c r="A4" s="321" t="str">
        <f>PROPOSTA_GLOBAL!A4</f>
        <v>SUPERINTENDÊNCIA REGIONAL DA POLÍCIA FEDERAL NO PARANÁ</v>
      </c>
      <c r="B4" s="321"/>
      <c r="C4" s="321"/>
      <c r="D4" s="321"/>
      <c r="E4" s="321"/>
      <c r="F4" s="321"/>
    </row>
    <row r="5" spans="1:6">
      <c r="A5" s="321" t="str">
        <f>PROPOSTA_GLOBAL!A5</f>
        <v>PROCESSO ADMINISTRATIVO SEI Nº 08385.000837/2025-50</v>
      </c>
      <c r="B5" s="321"/>
      <c r="C5" s="321"/>
      <c r="D5" s="321"/>
      <c r="E5" s="321"/>
      <c r="F5" s="321"/>
    </row>
    <row r="6" spans="1:6" ht="12" customHeight="1">
      <c r="A6" s="250"/>
      <c r="B6" s="250"/>
      <c r="C6" s="250"/>
      <c r="D6" s="250"/>
      <c r="E6" s="250"/>
      <c r="F6" s="250"/>
    </row>
    <row r="7" spans="1:6">
      <c r="A7" s="343" t="s">
        <v>513</v>
      </c>
      <c r="B7" s="343"/>
      <c r="C7" s="343"/>
      <c r="D7" s="343"/>
      <c r="E7" s="343"/>
      <c r="F7" s="343"/>
    </row>
    <row r="8" spans="1:6">
      <c r="A8" s="321"/>
      <c r="B8" s="321"/>
      <c r="C8" s="321"/>
      <c r="D8" s="321"/>
      <c r="E8" s="321"/>
      <c r="F8" s="321"/>
    </row>
    <row r="9" spans="1:6">
      <c r="A9" s="340" t="s">
        <v>11</v>
      </c>
      <c r="B9" s="340"/>
      <c r="C9" s="340"/>
      <c r="D9" s="340"/>
      <c r="E9" s="340"/>
      <c r="F9" s="340"/>
    </row>
    <row r="10" spans="1:6" ht="94.5" customHeight="1">
      <c r="A10" s="339" t="s">
        <v>12</v>
      </c>
      <c r="B10" s="339"/>
      <c r="C10" s="339"/>
      <c r="D10" s="339"/>
      <c r="E10" s="339"/>
      <c r="F10" s="339"/>
    </row>
    <row r="11" spans="1:6" ht="44.25" customHeight="1">
      <c r="A11" s="356" t="s">
        <v>529</v>
      </c>
      <c r="B11" s="356"/>
      <c r="C11" s="356"/>
      <c r="D11" s="356"/>
      <c r="E11" s="356"/>
      <c r="F11" s="356"/>
    </row>
    <row r="12" spans="1:6" ht="56.25" customHeight="1">
      <c r="A12" s="356" t="s">
        <v>530</v>
      </c>
      <c r="B12" s="356"/>
      <c r="C12" s="356"/>
      <c r="D12" s="356"/>
      <c r="E12" s="356"/>
      <c r="F12" s="356"/>
    </row>
    <row r="13" spans="1:6" ht="33" customHeight="1">
      <c r="A13" s="356" t="s">
        <v>13</v>
      </c>
      <c r="B13" s="356"/>
      <c r="C13" s="356"/>
      <c r="D13" s="356"/>
      <c r="E13" s="356"/>
      <c r="F13" s="356"/>
    </row>
    <row r="14" spans="1:6">
      <c r="A14" s="185" t="s">
        <v>14</v>
      </c>
      <c r="B14" s="358" t="s">
        <v>15</v>
      </c>
      <c r="C14" s="358"/>
      <c r="D14" s="358" t="s">
        <v>16</v>
      </c>
      <c r="E14" s="358"/>
      <c r="F14" s="177"/>
    </row>
    <row r="15" spans="1:6">
      <c r="A15" s="185" t="s">
        <v>17</v>
      </c>
      <c r="B15" s="186" t="s">
        <v>19</v>
      </c>
      <c r="C15" s="185" t="s">
        <v>18</v>
      </c>
      <c r="D15" s="185" t="s">
        <v>19</v>
      </c>
      <c r="E15" s="185" t="s">
        <v>18</v>
      </c>
      <c r="F15" s="177"/>
    </row>
    <row r="16" spans="1:6">
      <c r="A16" s="187" t="s">
        <v>20</v>
      </c>
      <c r="B16" s="188">
        <v>800</v>
      </c>
      <c r="C16" s="188">
        <v>1200</v>
      </c>
      <c r="D16" s="188">
        <f>B16*0.9</f>
        <v>720</v>
      </c>
      <c r="E16" s="188">
        <f>C16*0.9</f>
        <v>1080</v>
      </c>
      <c r="F16" s="184"/>
    </row>
    <row r="17" spans="1:6">
      <c r="A17" s="189" t="s">
        <v>21</v>
      </c>
      <c r="B17" s="188">
        <v>800</v>
      </c>
      <c r="C17" s="188">
        <v>1200</v>
      </c>
      <c r="D17" s="188">
        <f t="shared" ref="D17:D22" si="0">B17*0.9</f>
        <v>720</v>
      </c>
      <c r="E17" s="188">
        <f t="shared" ref="E17:E22" si="1">C17*0.9</f>
        <v>1080</v>
      </c>
      <c r="F17" s="166"/>
    </row>
    <row r="18" spans="1:6">
      <c r="A18" s="189" t="s">
        <v>22</v>
      </c>
      <c r="B18" s="188">
        <v>360</v>
      </c>
      <c r="C18" s="188">
        <v>450</v>
      </c>
      <c r="D18" s="188">
        <f t="shared" si="0"/>
        <v>324</v>
      </c>
      <c r="E18" s="188">
        <f t="shared" si="1"/>
        <v>405</v>
      </c>
      <c r="F18" s="166"/>
    </row>
    <row r="19" spans="1:6">
      <c r="A19" s="189" t="s">
        <v>23</v>
      </c>
      <c r="B19" s="188">
        <v>1500</v>
      </c>
      <c r="C19" s="188">
        <v>2500</v>
      </c>
      <c r="D19" s="188">
        <f t="shared" si="0"/>
        <v>1350</v>
      </c>
      <c r="E19" s="188">
        <f t="shared" si="1"/>
        <v>2250</v>
      </c>
      <c r="F19" s="166"/>
    </row>
    <row r="20" spans="1:6">
      <c r="A20" s="189" t="s">
        <v>24</v>
      </c>
      <c r="B20" s="188">
        <v>1200</v>
      </c>
      <c r="C20" s="188">
        <v>1800</v>
      </c>
      <c r="D20" s="188">
        <f t="shared" si="0"/>
        <v>1080</v>
      </c>
      <c r="E20" s="188">
        <f t="shared" si="1"/>
        <v>1620</v>
      </c>
      <c r="F20" s="166"/>
    </row>
    <row r="21" spans="1:6" ht="31.2">
      <c r="A21" s="189" t="s">
        <v>25</v>
      </c>
      <c r="B21" s="188">
        <v>1000</v>
      </c>
      <c r="C21" s="188">
        <v>1500</v>
      </c>
      <c r="D21" s="188">
        <f t="shared" si="0"/>
        <v>900</v>
      </c>
      <c r="E21" s="188">
        <f t="shared" si="1"/>
        <v>1350</v>
      </c>
      <c r="F21" s="166"/>
    </row>
    <row r="22" spans="1:6">
      <c r="A22" s="189" t="s">
        <v>26</v>
      </c>
      <c r="B22" s="188">
        <v>200</v>
      </c>
      <c r="C22" s="188">
        <v>300</v>
      </c>
      <c r="D22" s="188">
        <f t="shared" si="0"/>
        <v>180</v>
      </c>
      <c r="E22" s="188">
        <f t="shared" si="1"/>
        <v>270</v>
      </c>
      <c r="F22" s="166"/>
    </row>
    <row r="23" spans="1:6">
      <c r="A23" s="185" t="s">
        <v>27</v>
      </c>
      <c r="B23" s="186" t="s">
        <v>19</v>
      </c>
      <c r="C23" s="185" t="s">
        <v>18</v>
      </c>
      <c r="D23" s="185" t="s">
        <v>19</v>
      </c>
      <c r="E23" s="185" t="s">
        <v>18</v>
      </c>
      <c r="F23" s="166"/>
    </row>
    <row r="24" spans="1:6" ht="46.8">
      <c r="A24" s="187" t="s">
        <v>28</v>
      </c>
      <c r="B24" s="188">
        <v>1800</v>
      </c>
      <c r="C24" s="188">
        <v>2700</v>
      </c>
      <c r="D24" s="188">
        <f>B24*0.9</f>
        <v>1620</v>
      </c>
      <c r="E24" s="188">
        <f>C24*0.9</f>
        <v>2430</v>
      </c>
      <c r="F24" s="166"/>
    </row>
    <row r="25" spans="1:6" ht="31.2">
      <c r="A25" s="189" t="s">
        <v>29</v>
      </c>
      <c r="B25" s="188">
        <v>6000</v>
      </c>
      <c r="C25" s="188">
        <v>9000</v>
      </c>
      <c r="D25" s="188">
        <f t="shared" ref="D25:D29" si="2">B25*0.9</f>
        <v>5400</v>
      </c>
      <c r="E25" s="188">
        <f t="shared" ref="E25:E29" si="3">C25*0.9</f>
        <v>8100</v>
      </c>
      <c r="F25" s="166"/>
    </row>
    <row r="26" spans="1:6" ht="31.2">
      <c r="A26" s="189" t="s">
        <v>30</v>
      </c>
      <c r="B26" s="188">
        <v>1800</v>
      </c>
      <c r="C26" s="188">
        <v>2700</v>
      </c>
      <c r="D26" s="188">
        <f t="shared" si="2"/>
        <v>1620</v>
      </c>
      <c r="E26" s="188">
        <f t="shared" si="3"/>
        <v>2430</v>
      </c>
      <c r="F26" s="166"/>
    </row>
    <row r="27" spans="1:6" ht="31.2">
      <c r="A27" s="189" t="s">
        <v>31</v>
      </c>
      <c r="B27" s="188">
        <v>1800</v>
      </c>
      <c r="C27" s="188">
        <v>2700</v>
      </c>
      <c r="D27" s="188">
        <f t="shared" si="2"/>
        <v>1620</v>
      </c>
      <c r="E27" s="188">
        <f t="shared" si="3"/>
        <v>2430</v>
      </c>
      <c r="F27" s="166"/>
    </row>
    <row r="28" spans="1:6" ht="31.2">
      <c r="A28" s="189" t="s">
        <v>32</v>
      </c>
      <c r="B28" s="188">
        <v>1800</v>
      </c>
      <c r="C28" s="188">
        <v>2700</v>
      </c>
      <c r="D28" s="188">
        <f t="shared" si="2"/>
        <v>1620</v>
      </c>
      <c r="E28" s="188">
        <f t="shared" si="3"/>
        <v>2430</v>
      </c>
      <c r="F28" s="166"/>
    </row>
    <row r="29" spans="1:6" ht="46.8">
      <c r="A29" s="189" t="s">
        <v>33</v>
      </c>
      <c r="B29" s="188">
        <v>100000</v>
      </c>
      <c r="C29" s="188">
        <v>100000</v>
      </c>
      <c r="D29" s="188">
        <f t="shared" si="2"/>
        <v>90000</v>
      </c>
      <c r="E29" s="188">
        <f t="shared" si="3"/>
        <v>90000</v>
      </c>
      <c r="F29" s="166"/>
    </row>
    <row r="30" spans="1:6">
      <c r="A30" s="185" t="s">
        <v>34</v>
      </c>
      <c r="B30" s="186" t="s">
        <v>19</v>
      </c>
      <c r="C30" s="185" t="s">
        <v>18</v>
      </c>
      <c r="D30" s="185" t="s">
        <v>19</v>
      </c>
      <c r="E30" s="185" t="s">
        <v>18</v>
      </c>
      <c r="F30" s="166"/>
    </row>
    <row r="31" spans="1:6" ht="31.2">
      <c r="A31" s="187" t="s">
        <v>35</v>
      </c>
      <c r="B31" s="188">
        <v>130</v>
      </c>
      <c r="C31" s="188">
        <v>160</v>
      </c>
      <c r="D31" s="188">
        <f>B31*0.9</f>
        <v>117</v>
      </c>
      <c r="E31" s="188">
        <f>C31*0.9</f>
        <v>144</v>
      </c>
      <c r="F31" s="166"/>
    </row>
    <row r="32" spans="1:6" ht="31.2">
      <c r="A32" s="189" t="s">
        <v>36</v>
      </c>
      <c r="B32" s="188">
        <v>300</v>
      </c>
      <c r="C32" s="188">
        <v>380</v>
      </c>
      <c r="D32" s="188">
        <f t="shared" ref="D32:D33" si="4">B32*0.9</f>
        <v>270</v>
      </c>
      <c r="E32" s="188">
        <f t="shared" ref="E32:E33" si="5">C32*0.9</f>
        <v>342</v>
      </c>
      <c r="F32" s="166"/>
    </row>
    <row r="33" spans="1:6">
      <c r="A33" s="189" t="s">
        <v>37</v>
      </c>
      <c r="B33" s="188">
        <v>300</v>
      </c>
      <c r="C33" s="188">
        <v>380</v>
      </c>
      <c r="D33" s="188">
        <f t="shared" si="4"/>
        <v>270</v>
      </c>
      <c r="E33" s="188">
        <f t="shared" si="5"/>
        <v>342</v>
      </c>
      <c r="F33" s="166"/>
    </row>
    <row r="34" spans="1:6">
      <c r="A34" s="185" t="s">
        <v>38</v>
      </c>
      <c r="B34" s="186" t="s">
        <v>19</v>
      </c>
      <c r="C34" s="185" t="s">
        <v>18</v>
      </c>
      <c r="D34" s="185" t="s">
        <v>19</v>
      </c>
      <c r="E34" s="185" t="s">
        <v>18</v>
      </c>
      <c r="F34" s="166"/>
    </row>
    <row r="35" spans="1:6">
      <c r="A35" s="187" t="s">
        <v>38</v>
      </c>
      <c r="B35" s="188">
        <v>360</v>
      </c>
      <c r="C35" s="188">
        <v>450</v>
      </c>
      <c r="D35" s="188">
        <f>B35*0.9</f>
        <v>324</v>
      </c>
      <c r="E35" s="188">
        <f>C35*0.9</f>
        <v>405</v>
      </c>
      <c r="F35" s="166"/>
    </row>
    <row r="36" spans="1:6" ht="31.2">
      <c r="A36" s="185" t="s">
        <v>39</v>
      </c>
      <c r="B36" s="186" t="s">
        <v>19</v>
      </c>
      <c r="C36" s="185" t="s">
        <v>18</v>
      </c>
      <c r="D36" s="185" t="s">
        <v>19</v>
      </c>
      <c r="E36" s="185" t="s">
        <v>18</v>
      </c>
      <c r="F36" s="166"/>
    </row>
    <row r="37" spans="1:6" ht="31.2">
      <c r="A37" s="187" t="s">
        <v>39</v>
      </c>
      <c r="B37" s="188">
        <v>360</v>
      </c>
      <c r="C37" s="188">
        <v>450</v>
      </c>
      <c r="D37" s="188">
        <f>B37*0.9</f>
        <v>324</v>
      </c>
      <c r="E37" s="188">
        <f>C37*0.9</f>
        <v>405</v>
      </c>
      <c r="F37" s="166"/>
    </row>
    <row r="38" spans="1:6">
      <c r="A38" s="354"/>
      <c r="B38" s="354"/>
      <c r="C38" s="354"/>
      <c r="D38" s="354"/>
      <c r="E38" s="354"/>
      <c r="F38" s="354"/>
    </row>
    <row r="39" spans="1:6" ht="33" customHeight="1">
      <c r="A39" s="356" t="s">
        <v>554</v>
      </c>
      <c r="B39" s="356"/>
      <c r="C39" s="356"/>
      <c r="D39" s="356"/>
      <c r="E39" s="356"/>
      <c r="F39" s="356"/>
    </row>
    <row r="40" spans="1:6">
      <c r="A40" s="356" t="s">
        <v>40</v>
      </c>
      <c r="B40" s="356"/>
      <c r="C40" s="356"/>
      <c r="D40" s="356"/>
      <c r="E40" s="356"/>
      <c r="F40" s="356"/>
    </row>
    <row r="41" spans="1:6">
      <c r="A41" s="354"/>
      <c r="B41" s="354"/>
      <c r="C41" s="354"/>
      <c r="D41" s="354"/>
      <c r="E41" s="354"/>
      <c r="F41" s="354"/>
    </row>
    <row r="42" spans="1:6">
      <c r="A42" s="340" t="s">
        <v>42</v>
      </c>
      <c r="B42" s="340"/>
      <c r="C42" s="340"/>
      <c r="D42" s="340"/>
      <c r="E42" s="340"/>
      <c r="F42" s="340"/>
    </row>
    <row r="43" spans="1:6" ht="30" customHeight="1">
      <c r="A43" s="353" t="s">
        <v>518</v>
      </c>
      <c r="B43" s="353"/>
      <c r="C43" s="353"/>
      <c r="D43" s="353"/>
      <c r="E43" s="353"/>
      <c r="F43" s="353"/>
    </row>
    <row r="44" spans="1:6">
      <c r="A44" s="339" t="s">
        <v>519</v>
      </c>
      <c r="B44" s="339"/>
      <c r="C44" s="339"/>
      <c r="D44" s="339"/>
      <c r="E44" s="339"/>
      <c r="F44" s="339"/>
    </row>
    <row r="45" spans="1:6">
      <c r="A45" s="344"/>
      <c r="B45" s="344"/>
      <c r="C45" s="344"/>
      <c r="D45" s="344"/>
      <c r="E45" s="344"/>
      <c r="F45" s="344"/>
    </row>
    <row r="46" spans="1:6">
      <c r="A46" s="357" t="s">
        <v>43</v>
      </c>
      <c r="B46" s="357"/>
      <c r="C46" s="357"/>
      <c r="D46" s="357"/>
      <c r="E46" s="357"/>
      <c r="F46" s="357"/>
    </row>
    <row r="47" spans="1:6" ht="138.75" customHeight="1">
      <c r="A47" s="339" t="s">
        <v>520</v>
      </c>
      <c r="B47" s="339"/>
      <c r="C47" s="339"/>
      <c r="D47" s="339"/>
      <c r="E47" s="339"/>
      <c r="F47" s="339"/>
    </row>
    <row r="48" spans="1:6" ht="15.75" customHeight="1">
      <c r="A48" s="355"/>
      <c r="B48" s="355"/>
      <c r="C48" s="355"/>
      <c r="D48" s="355"/>
      <c r="E48" s="355"/>
      <c r="F48" s="355"/>
    </row>
    <row r="49" spans="1:6">
      <c r="A49" s="340" t="s">
        <v>44</v>
      </c>
      <c r="B49" s="340"/>
      <c r="C49" s="340"/>
      <c r="D49" s="340"/>
      <c r="E49" s="340"/>
      <c r="F49" s="340"/>
    </row>
    <row r="50" spans="1:6" ht="28.5" customHeight="1">
      <c r="A50" s="339" t="s">
        <v>521</v>
      </c>
      <c r="B50" s="339"/>
      <c r="C50" s="339"/>
      <c r="D50" s="339"/>
      <c r="E50" s="339"/>
      <c r="F50" s="339"/>
    </row>
    <row r="51" spans="1:6" ht="32.25" customHeight="1">
      <c r="A51" s="339" t="s">
        <v>522</v>
      </c>
      <c r="B51" s="339"/>
      <c r="C51" s="339"/>
      <c r="D51" s="339"/>
      <c r="E51" s="339"/>
      <c r="F51" s="339"/>
    </row>
    <row r="52" spans="1:6" ht="35.25" customHeight="1">
      <c r="A52" s="339" t="s">
        <v>523</v>
      </c>
      <c r="B52" s="339"/>
      <c r="C52" s="339"/>
      <c r="D52" s="339"/>
      <c r="E52" s="339"/>
      <c r="F52" s="339"/>
    </row>
    <row r="53" spans="1:6">
      <c r="A53" s="339" t="s">
        <v>524</v>
      </c>
      <c r="B53" s="339"/>
      <c r="C53" s="339"/>
      <c r="D53" s="339"/>
      <c r="E53" s="339"/>
      <c r="F53" s="339"/>
    </row>
    <row r="54" spans="1:6" ht="36.75" customHeight="1">
      <c r="A54" s="341"/>
      <c r="B54" s="341"/>
      <c r="C54" s="341"/>
      <c r="D54" s="341"/>
      <c r="E54" s="341"/>
      <c r="F54" s="341"/>
    </row>
    <row r="55" spans="1:6">
      <c r="A55" s="338" t="s">
        <v>45</v>
      </c>
      <c r="B55" s="338"/>
      <c r="C55" s="338"/>
      <c r="D55" s="338"/>
      <c r="E55" s="338"/>
      <c r="F55" s="338"/>
    </row>
    <row r="56" spans="1:6" ht="132.75" customHeight="1">
      <c r="A56" s="339" t="s">
        <v>552</v>
      </c>
      <c r="B56" s="339"/>
      <c r="C56" s="339"/>
      <c r="D56" s="339"/>
      <c r="E56" s="339"/>
      <c r="F56" s="339"/>
    </row>
    <row r="57" spans="1:6" ht="57.75" customHeight="1">
      <c r="A57" s="339" t="s">
        <v>557</v>
      </c>
      <c r="B57" s="339"/>
      <c r="C57" s="339"/>
      <c r="D57" s="339"/>
      <c r="E57" s="339"/>
      <c r="F57" s="339"/>
    </row>
    <row r="58" spans="1:6" ht="65.25" customHeight="1">
      <c r="A58" s="339" t="s">
        <v>525</v>
      </c>
      <c r="B58" s="339"/>
      <c r="C58" s="339"/>
      <c r="D58" s="339"/>
      <c r="E58" s="339"/>
      <c r="F58" s="339"/>
    </row>
    <row r="59" spans="1:6">
      <c r="A59" s="344"/>
      <c r="B59" s="344"/>
      <c r="C59" s="344"/>
      <c r="D59" s="344"/>
      <c r="E59" s="344"/>
      <c r="F59" s="344"/>
    </row>
    <row r="60" spans="1:6">
      <c r="A60" s="338" t="s">
        <v>46</v>
      </c>
      <c r="B60" s="338"/>
      <c r="C60" s="338"/>
      <c r="D60" s="338"/>
      <c r="E60" s="338"/>
      <c r="F60" s="338"/>
    </row>
    <row r="61" spans="1:6" ht="31.5" customHeight="1">
      <c r="A61" s="340" t="s">
        <v>47</v>
      </c>
      <c r="B61" s="340"/>
      <c r="C61" s="340"/>
      <c r="D61" s="340"/>
      <c r="E61" s="340"/>
      <c r="F61" s="340"/>
    </row>
    <row r="62" spans="1:6" ht="125.25" customHeight="1">
      <c r="A62" s="353" t="s">
        <v>526</v>
      </c>
      <c r="B62" s="353"/>
      <c r="C62" s="353"/>
      <c r="D62" s="353"/>
      <c r="E62" s="353"/>
      <c r="F62" s="353"/>
    </row>
    <row r="63" spans="1:6" ht="147" customHeight="1">
      <c r="A63" s="339" t="s">
        <v>553</v>
      </c>
      <c r="B63" s="339"/>
      <c r="C63" s="339"/>
      <c r="D63" s="339"/>
      <c r="E63" s="339"/>
      <c r="F63" s="339"/>
    </row>
    <row r="64" spans="1:6" ht="76.5" customHeight="1">
      <c r="A64" s="339" t="s">
        <v>527</v>
      </c>
      <c r="B64" s="339"/>
      <c r="C64" s="339"/>
      <c r="D64" s="339"/>
      <c r="E64" s="339"/>
      <c r="F64" s="339"/>
    </row>
    <row r="65" spans="1:6" ht="128.25" customHeight="1">
      <c r="A65" s="339" t="s">
        <v>558</v>
      </c>
      <c r="B65" s="339"/>
      <c r="C65" s="339"/>
      <c r="D65" s="339"/>
      <c r="E65" s="339"/>
      <c r="F65" s="339"/>
    </row>
    <row r="66" spans="1:6" ht="128.25" customHeight="1">
      <c r="A66" s="339" t="s">
        <v>559</v>
      </c>
      <c r="B66" s="339"/>
      <c r="C66" s="339"/>
      <c r="D66" s="339"/>
      <c r="E66" s="339"/>
      <c r="F66" s="339"/>
    </row>
    <row r="67" spans="1:6" ht="68.25" customHeight="1">
      <c r="A67" s="339" t="s">
        <v>555</v>
      </c>
      <c r="B67" s="339"/>
      <c r="C67" s="339"/>
      <c r="D67" s="339"/>
      <c r="E67" s="339"/>
      <c r="F67" s="339"/>
    </row>
    <row r="68" spans="1:6">
      <c r="A68" s="347"/>
      <c r="B68" s="347"/>
      <c r="C68" s="347"/>
      <c r="D68" s="347"/>
      <c r="E68" s="347"/>
      <c r="F68" s="347"/>
    </row>
    <row r="69" spans="1:6" ht="15.75" customHeight="1">
      <c r="A69" s="352" t="s">
        <v>48</v>
      </c>
      <c r="B69" s="352"/>
      <c r="C69" s="352"/>
      <c r="D69" s="352"/>
      <c r="E69" s="352"/>
      <c r="F69" s="352"/>
    </row>
    <row r="70" spans="1:6">
      <c r="A70" s="346" t="s">
        <v>49</v>
      </c>
      <c r="B70" s="346"/>
      <c r="C70" s="346"/>
      <c r="D70" s="346"/>
      <c r="E70" s="346"/>
      <c r="F70" s="346"/>
    </row>
    <row r="71" spans="1:6">
      <c r="A71" s="26"/>
      <c r="B71" s="4"/>
      <c r="C71" s="4"/>
      <c r="D71" s="4"/>
      <c r="E71" s="4"/>
      <c r="F71" s="4"/>
    </row>
    <row r="72" spans="1:6">
      <c r="A72" s="351" t="s">
        <v>50</v>
      </c>
      <c r="B72" s="351"/>
      <c r="C72" s="351"/>
      <c r="D72" s="351"/>
      <c r="E72" s="351"/>
      <c r="F72" s="351"/>
    </row>
    <row r="73" spans="1:6" ht="86.4" customHeight="1">
      <c r="A73" s="348" t="s">
        <v>528</v>
      </c>
      <c r="B73" s="348"/>
      <c r="C73" s="348"/>
      <c r="D73" s="348"/>
      <c r="E73" s="348"/>
      <c r="F73" s="348"/>
    </row>
    <row r="74" spans="1:6" ht="167.4" customHeight="1">
      <c r="A74" s="349" t="s">
        <v>556</v>
      </c>
      <c r="B74" s="349"/>
      <c r="C74" s="349"/>
      <c r="D74" s="349"/>
      <c r="E74" s="349"/>
      <c r="F74" s="349"/>
    </row>
    <row r="75" spans="1:6" ht="110.25" customHeight="1">
      <c r="A75" s="345" t="s">
        <v>517</v>
      </c>
      <c r="B75" s="345"/>
      <c r="C75" s="345"/>
      <c r="D75" s="345"/>
      <c r="E75" s="345"/>
      <c r="F75" s="345"/>
    </row>
    <row r="76" spans="1:6">
      <c r="A76" s="4"/>
      <c r="B76" s="4"/>
      <c r="C76" s="4"/>
      <c r="D76" s="4"/>
      <c r="E76" s="4"/>
      <c r="F76" s="4"/>
    </row>
    <row r="77" spans="1:6">
      <c r="A77" s="4"/>
      <c r="B77" s="4"/>
      <c r="C77" s="4"/>
      <c r="D77" s="4"/>
      <c r="E77" s="4"/>
      <c r="F77" s="4"/>
    </row>
    <row r="78" spans="1:6">
      <c r="A78" s="4"/>
      <c r="B78" s="4"/>
      <c r="C78" s="4"/>
      <c r="D78" s="4"/>
      <c r="E78" s="4"/>
      <c r="F78" s="4"/>
    </row>
    <row r="79" spans="1:6">
      <c r="A79" s="351" t="s">
        <v>51</v>
      </c>
      <c r="B79" s="351"/>
      <c r="C79" s="351"/>
      <c r="D79" s="351"/>
      <c r="E79" s="351"/>
      <c r="F79" s="351"/>
    </row>
    <row r="80" spans="1:6" ht="49.65" customHeight="1">
      <c r="A80" s="345" t="s">
        <v>511</v>
      </c>
      <c r="B80" s="345"/>
      <c r="C80" s="345"/>
      <c r="D80" s="345"/>
      <c r="E80" s="345"/>
      <c r="F80" s="345"/>
    </row>
    <row r="82" spans="1:6">
      <c r="A82" s="350"/>
      <c r="B82" s="350"/>
      <c r="C82" s="350"/>
      <c r="D82" s="350"/>
      <c r="E82" s="350"/>
      <c r="F82" s="350"/>
    </row>
    <row r="83" spans="1:6">
      <c r="A83" s="350"/>
      <c r="B83" s="350"/>
      <c r="C83" s="350"/>
      <c r="D83" s="350"/>
      <c r="E83" s="350"/>
      <c r="F83" s="350"/>
    </row>
    <row r="85" spans="1:6" ht="107.25" customHeight="1">
      <c r="A85" s="345"/>
      <c r="B85" s="345"/>
      <c r="C85" s="345"/>
      <c r="D85" s="345"/>
      <c r="E85" s="345"/>
      <c r="F85" s="345"/>
    </row>
  </sheetData>
  <mergeCells count="55">
    <mergeCell ref="A11:F11"/>
    <mergeCell ref="A12:F12"/>
    <mergeCell ref="A13:F13"/>
    <mergeCell ref="A39:F39"/>
    <mergeCell ref="B14:C14"/>
    <mergeCell ref="D14:E14"/>
    <mergeCell ref="A38:F38"/>
    <mergeCell ref="A41:F41"/>
    <mergeCell ref="A45:F45"/>
    <mergeCell ref="A48:F48"/>
    <mergeCell ref="A53:F53"/>
    <mergeCell ref="A40:F40"/>
    <mergeCell ref="A52:F52"/>
    <mergeCell ref="A43:F43"/>
    <mergeCell ref="A44:F44"/>
    <mergeCell ref="A46:F46"/>
    <mergeCell ref="A42:F42"/>
    <mergeCell ref="A67:F67"/>
    <mergeCell ref="A69:F69"/>
    <mergeCell ref="A62:F62"/>
    <mergeCell ref="A63:F63"/>
    <mergeCell ref="A64:F64"/>
    <mergeCell ref="A65:F65"/>
    <mergeCell ref="A66:F66"/>
    <mergeCell ref="A85:F85"/>
    <mergeCell ref="A70:F70"/>
    <mergeCell ref="A68:F68"/>
    <mergeCell ref="A73:F73"/>
    <mergeCell ref="A74:F74"/>
    <mergeCell ref="A83:F83"/>
    <mergeCell ref="A80:F80"/>
    <mergeCell ref="A82:F82"/>
    <mergeCell ref="A79:F79"/>
    <mergeCell ref="A72:F72"/>
    <mergeCell ref="A75:F75"/>
    <mergeCell ref="A57:F57"/>
    <mergeCell ref="A58:F58"/>
    <mergeCell ref="A60:F60"/>
    <mergeCell ref="A61:F61"/>
    <mergeCell ref="A56:F56"/>
    <mergeCell ref="A59:F59"/>
    <mergeCell ref="A1:F2"/>
    <mergeCell ref="A4:F4"/>
    <mergeCell ref="A5:F5"/>
    <mergeCell ref="A9:F9"/>
    <mergeCell ref="A10:F10"/>
    <mergeCell ref="A3:F3"/>
    <mergeCell ref="A8:F8"/>
    <mergeCell ref="A7:F7"/>
    <mergeCell ref="A55:F55"/>
    <mergeCell ref="A50:F50"/>
    <mergeCell ref="A51:F51"/>
    <mergeCell ref="A49:F49"/>
    <mergeCell ref="A47:F47"/>
    <mergeCell ref="A54:F54"/>
  </mergeCells>
  <pageMargins left="0.511811023622047" right="0.511811023622047" top="0.78740157480314998" bottom="0.78740157480314998" header="0.31496062992126" footer="0.31496062992126"/>
  <pageSetup paperSize="3" scale="81" fitToHeight="0" orientation="portrait" r:id="rId1"/>
  <headerFooter>
    <oddFooter>&amp;C&amp;A
&amp;P de &amp;N</oddFooter>
  </headerFooter>
  <rowBreaks count="2" manualBreakCount="2">
    <brk id="48" max="16383" man="1"/>
    <brk id="71"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BCCCA-AD90-41A5-832A-A57F986E4C87}">
  <sheetPr>
    <pageSetUpPr fitToPage="1"/>
  </sheetPr>
  <dimension ref="A1:F67"/>
  <sheetViews>
    <sheetView tabSelected="1" view="pageBreakPreview" zoomScale="95" zoomScaleNormal="72" zoomScaleSheetLayoutView="95" workbookViewId="0">
      <selection activeCell="C9" sqref="C9"/>
    </sheetView>
  </sheetViews>
  <sheetFormatPr defaultColWidth="9.109375" defaultRowHeight="15.6"/>
  <cols>
    <col min="1" max="1" width="18.5546875" style="90" customWidth="1"/>
    <col min="2" max="2" width="45.5546875" style="90" customWidth="1"/>
    <col min="3" max="3" width="21" style="90" bestFit="1" customWidth="1"/>
    <col min="4" max="4" width="21" style="90" customWidth="1"/>
    <col min="5" max="5" width="15.88671875" style="90" bestFit="1" customWidth="1"/>
    <col min="6" max="6" width="23.109375" style="90" bestFit="1" customWidth="1"/>
    <col min="7" max="16384" width="9.109375" style="90"/>
  </cols>
  <sheetData>
    <row r="1" spans="1:6" ht="25.5" customHeight="1">
      <c r="A1" s="320" t="s">
        <v>10</v>
      </c>
      <c r="B1" s="320"/>
      <c r="C1" s="320"/>
      <c r="D1" s="320"/>
      <c r="E1" s="320"/>
      <c r="F1" s="320"/>
    </row>
    <row r="2" spans="1:6">
      <c r="A2" s="162"/>
      <c r="B2" s="162"/>
      <c r="C2" s="162"/>
      <c r="D2" s="162"/>
      <c r="E2" s="162"/>
      <c r="F2" s="162"/>
    </row>
    <row r="3" spans="1:6">
      <c r="A3" s="321" t="str">
        <f>PROPOSTA_GLOBAL!A4</f>
        <v>SUPERINTENDÊNCIA REGIONAL DA POLÍCIA FEDERAL NO PARANÁ</v>
      </c>
      <c r="B3" s="321"/>
      <c r="C3" s="321"/>
      <c r="D3" s="321"/>
      <c r="E3" s="321"/>
      <c r="F3" s="321"/>
    </row>
    <row r="4" spans="1:6">
      <c r="A4" s="321" t="str">
        <f>PROPOSTA_GLOBAL!A5</f>
        <v>PROCESSO ADMINISTRATIVO SEI Nº 08385.000837/2025-50</v>
      </c>
      <c r="B4" s="321"/>
      <c r="C4" s="321"/>
      <c r="D4" s="321"/>
      <c r="E4" s="321"/>
      <c r="F4" s="321"/>
    </row>
    <row r="6" spans="1:6">
      <c r="A6" s="351" t="s">
        <v>52</v>
      </c>
      <c r="B6" s="351"/>
      <c r="C6" s="351"/>
      <c r="D6" s="351"/>
      <c r="E6" s="351"/>
      <c r="F6" s="351"/>
    </row>
    <row r="7" spans="1:6">
      <c r="A7" s="254"/>
      <c r="B7" s="254"/>
      <c r="C7" s="254"/>
      <c r="D7" s="254"/>
      <c r="E7" s="254"/>
      <c r="F7" s="254"/>
    </row>
    <row r="8" spans="1:6">
      <c r="A8" s="90" t="s">
        <v>53</v>
      </c>
      <c r="C8" s="222">
        <v>45674</v>
      </c>
    </row>
    <row r="9" spans="1:6">
      <c r="A9" s="90" t="s">
        <v>54</v>
      </c>
      <c r="C9" s="237">
        <v>45925</v>
      </c>
    </row>
    <row r="10" spans="1:6">
      <c r="A10" s="90" t="s">
        <v>55</v>
      </c>
      <c r="C10" s="237"/>
    </row>
    <row r="11" spans="1:6" ht="16.2" thickBot="1"/>
    <row r="12" spans="1:6" ht="15.75" customHeight="1">
      <c r="A12" s="361" t="s">
        <v>56</v>
      </c>
      <c r="B12" s="362"/>
      <c r="C12" s="362"/>
      <c r="D12" s="362"/>
      <c r="E12" s="362"/>
      <c r="F12" s="363"/>
    </row>
    <row r="13" spans="1:6" ht="46.5" customHeight="1">
      <c r="A13" s="368" t="s">
        <v>58</v>
      </c>
      <c r="B13" s="369"/>
      <c r="C13" s="93" t="s">
        <v>59</v>
      </c>
      <c r="D13" s="92" t="s">
        <v>60</v>
      </c>
      <c r="E13" s="92" t="s">
        <v>61</v>
      </c>
      <c r="F13" s="104"/>
    </row>
    <row r="14" spans="1:6">
      <c r="A14" s="366" t="s">
        <v>68</v>
      </c>
      <c r="B14" s="367"/>
      <c r="C14" s="101" t="s">
        <v>69</v>
      </c>
      <c r="D14" s="101" t="s">
        <v>70</v>
      </c>
      <c r="E14" s="101" t="s">
        <v>71</v>
      </c>
      <c r="F14" s="105"/>
    </row>
    <row r="15" spans="1:6" ht="21.75" customHeight="1">
      <c r="A15" s="366" t="s">
        <v>73</v>
      </c>
      <c r="B15" s="367"/>
      <c r="C15" s="101" t="s">
        <v>74</v>
      </c>
      <c r="D15" s="101" t="s">
        <v>74</v>
      </c>
      <c r="E15" s="101" t="s">
        <v>74</v>
      </c>
      <c r="F15" s="105"/>
    </row>
    <row r="16" spans="1:6">
      <c r="A16" s="366" t="s">
        <v>76</v>
      </c>
      <c r="B16" s="367"/>
      <c r="C16" s="315">
        <v>45689</v>
      </c>
      <c r="D16" s="315">
        <v>45689</v>
      </c>
      <c r="E16" s="315">
        <v>45689</v>
      </c>
      <c r="F16" s="105" t="s">
        <v>77</v>
      </c>
    </row>
    <row r="17" spans="1:6">
      <c r="A17" s="366" t="s">
        <v>79</v>
      </c>
      <c r="B17" s="367"/>
      <c r="C17" s="102">
        <v>1764</v>
      </c>
      <c r="D17" s="102">
        <v>1821</v>
      </c>
      <c r="E17" s="102">
        <v>2232</v>
      </c>
      <c r="F17" s="105" t="s">
        <v>80</v>
      </c>
    </row>
    <row r="18" spans="1:6">
      <c r="A18" s="366" t="s">
        <v>82</v>
      </c>
      <c r="B18" s="367"/>
      <c r="C18" s="103">
        <v>40</v>
      </c>
      <c r="D18" s="103">
        <v>40</v>
      </c>
      <c r="E18" s="103">
        <v>40</v>
      </c>
      <c r="F18" s="106"/>
    </row>
    <row r="19" spans="1:6">
      <c r="A19" s="366" t="s">
        <v>563</v>
      </c>
      <c r="B19" s="367"/>
      <c r="C19" s="102">
        <f>C17</f>
        <v>1764</v>
      </c>
      <c r="D19" s="102">
        <f>D17</f>
        <v>1821</v>
      </c>
      <c r="E19" s="102">
        <f>E17</f>
        <v>2232</v>
      </c>
      <c r="F19" s="107"/>
    </row>
    <row r="20" spans="1:6">
      <c r="A20" s="366" t="s">
        <v>85</v>
      </c>
      <c r="B20" s="367"/>
      <c r="C20" s="102">
        <v>122</v>
      </c>
      <c r="D20" s="102">
        <v>0</v>
      </c>
      <c r="E20" s="102">
        <v>0</v>
      </c>
      <c r="F20" s="105" t="s">
        <v>86</v>
      </c>
    </row>
    <row r="21" spans="1:6" ht="34.799999999999997" customHeight="1">
      <c r="A21" s="366" t="s">
        <v>651</v>
      </c>
      <c r="B21" s="367"/>
      <c r="C21" s="102">
        <f>C20</f>
        <v>122</v>
      </c>
      <c r="D21" s="102">
        <v>0</v>
      </c>
      <c r="E21" s="102">
        <v>0</v>
      </c>
      <c r="F21" s="105"/>
    </row>
    <row r="22" spans="1:6">
      <c r="A22" s="366" t="s">
        <v>87</v>
      </c>
      <c r="B22" s="367"/>
      <c r="C22" s="102">
        <v>805</v>
      </c>
      <c r="D22" s="102">
        <v>805</v>
      </c>
      <c r="E22" s="102">
        <v>805</v>
      </c>
      <c r="F22" s="105" t="s">
        <v>88</v>
      </c>
    </row>
    <row r="23" spans="1:6">
      <c r="A23" s="366" t="s">
        <v>89</v>
      </c>
      <c r="B23" s="367"/>
      <c r="C23" s="102">
        <f>C22*20%</f>
        <v>161</v>
      </c>
      <c r="D23" s="102">
        <f t="shared" ref="D23:E23" si="0">D22*20%</f>
        <v>161</v>
      </c>
      <c r="E23" s="102">
        <f t="shared" si="0"/>
        <v>161</v>
      </c>
      <c r="F23" s="105" t="s">
        <v>90</v>
      </c>
    </row>
    <row r="24" spans="1:6" ht="15.75" customHeight="1">
      <c r="A24" s="366" t="s">
        <v>91</v>
      </c>
      <c r="B24" s="367"/>
      <c r="C24" s="102">
        <v>26.82</v>
      </c>
      <c r="D24" s="102">
        <v>26.82</v>
      </c>
      <c r="E24" s="102">
        <v>26.82</v>
      </c>
      <c r="F24" s="105" t="s">
        <v>90</v>
      </c>
    </row>
    <row r="25" spans="1:6">
      <c r="A25" s="366" t="s">
        <v>92</v>
      </c>
      <c r="B25" s="367"/>
      <c r="C25" s="102">
        <v>87.5</v>
      </c>
      <c r="D25" s="102">
        <v>87.5</v>
      </c>
      <c r="E25" s="102">
        <v>87.5</v>
      </c>
      <c r="F25" s="105" t="s">
        <v>93</v>
      </c>
    </row>
    <row r="26" spans="1:6" ht="16.2" thickBot="1">
      <c r="A26" s="359" t="s">
        <v>94</v>
      </c>
      <c r="B26" s="360"/>
      <c r="C26" s="108">
        <v>28</v>
      </c>
      <c r="D26" s="108">
        <v>28</v>
      </c>
      <c r="E26" s="108">
        <v>28</v>
      </c>
      <c r="F26" s="109" t="s">
        <v>95</v>
      </c>
    </row>
    <row r="27" spans="1:6">
      <c r="A27" s="251"/>
      <c r="B27" s="251"/>
      <c r="C27" s="252"/>
      <c r="D27" s="252"/>
      <c r="E27" s="252"/>
      <c r="F27" s="251"/>
    </row>
    <row r="28" spans="1:6" ht="16.2" thickBot="1"/>
    <row r="29" spans="1:6">
      <c r="A29" s="361" t="s">
        <v>57</v>
      </c>
      <c r="B29" s="362"/>
      <c r="C29" s="362"/>
      <c r="D29" s="362"/>
      <c r="E29" s="362"/>
      <c r="F29" s="363"/>
    </row>
    <row r="30" spans="1:6" ht="31.2">
      <c r="A30" s="110" t="s">
        <v>62</v>
      </c>
      <c r="B30" s="93" t="s">
        <v>63</v>
      </c>
      <c r="C30" s="93" t="s">
        <v>64</v>
      </c>
      <c r="D30" s="93" t="s">
        <v>65</v>
      </c>
      <c r="E30" s="93" t="s">
        <v>66</v>
      </c>
      <c r="F30" s="104" t="s">
        <v>67</v>
      </c>
    </row>
    <row r="31" spans="1:6">
      <c r="A31" s="111" t="s">
        <v>72</v>
      </c>
      <c r="B31" s="91">
        <v>6</v>
      </c>
      <c r="C31" s="96">
        <v>2</v>
      </c>
      <c r="D31" s="96">
        <v>22</v>
      </c>
      <c r="E31" s="97">
        <f>D31*C31*B31</f>
        <v>264</v>
      </c>
      <c r="F31" s="112">
        <v>0.06</v>
      </c>
    </row>
    <row r="32" spans="1:6">
      <c r="A32" s="111" t="s">
        <v>75</v>
      </c>
      <c r="B32" s="91">
        <v>6.5</v>
      </c>
      <c r="C32" s="96">
        <v>2</v>
      </c>
      <c r="D32" s="96">
        <v>22</v>
      </c>
      <c r="E32" s="97">
        <f>D32*C32*B32</f>
        <v>286</v>
      </c>
      <c r="F32" s="112">
        <v>0.06</v>
      </c>
    </row>
    <row r="33" spans="1:6">
      <c r="A33" s="111" t="s">
        <v>78</v>
      </c>
      <c r="B33" s="91">
        <v>5.75</v>
      </c>
      <c r="C33" s="96">
        <v>2</v>
      </c>
      <c r="D33" s="96">
        <v>22</v>
      </c>
      <c r="E33" s="97">
        <f t="shared" ref="E33:E36" si="1">D33*C33*B33</f>
        <v>253</v>
      </c>
      <c r="F33" s="112">
        <v>0.06</v>
      </c>
    </row>
    <row r="34" spans="1:6">
      <c r="A34" s="111" t="s">
        <v>81</v>
      </c>
      <c r="B34" s="91">
        <v>4.8</v>
      </c>
      <c r="C34" s="96">
        <v>2</v>
      </c>
      <c r="D34" s="96">
        <v>22</v>
      </c>
      <c r="E34" s="97">
        <f t="shared" si="1"/>
        <v>211.2</v>
      </c>
      <c r="F34" s="112">
        <v>0.06</v>
      </c>
    </row>
    <row r="35" spans="1:6">
      <c r="A35" s="111" t="s">
        <v>83</v>
      </c>
      <c r="B35" s="91">
        <v>0</v>
      </c>
      <c r="C35" s="96">
        <v>2</v>
      </c>
      <c r="D35" s="96">
        <v>22</v>
      </c>
      <c r="E35" s="97">
        <f>D35*C35*B35</f>
        <v>0</v>
      </c>
      <c r="F35" s="112">
        <v>0.06</v>
      </c>
    </row>
    <row r="36" spans="1:6" ht="16.2" thickBot="1">
      <c r="A36" s="113" t="s">
        <v>84</v>
      </c>
      <c r="B36" s="114">
        <v>6.01</v>
      </c>
      <c r="C36" s="115">
        <v>2</v>
      </c>
      <c r="D36" s="115">
        <v>22</v>
      </c>
      <c r="E36" s="116">
        <f t="shared" si="1"/>
        <v>264.44</v>
      </c>
      <c r="F36" s="117">
        <v>0.06</v>
      </c>
    </row>
    <row r="38" spans="1:6" ht="16.2" thickBot="1"/>
    <row r="39" spans="1:6">
      <c r="A39" s="361" t="s">
        <v>96</v>
      </c>
      <c r="B39" s="362"/>
      <c r="C39" s="362"/>
      <c r="D39" s="362"/>
      <c r="E39" s="362"/>
      <c r="F39" s="363"/>
    </row>
    <row r="40" spans="1:6">
      <c r="A40" s="364" t="s">
        <v>62</v>
      </c>
      <c r="B40" s="93" t="str">
        <f>$C$13</f>
        <v>Servente de limpeza</v>
      </c>
      <c r="C40" s="93" t="str">
        <f>$C$13</f>
        <v>Servente de limpeza</v>
      </c>
      <c r="D40" s="93" t="str">
        <f>$C$13</f>
        <v>Servente de limpeza</v>
      </c>
      <c r="E40" s="93" t="str">
        <f>$D$13</f>
        <v>Copeira</v>
      </c>
      <c r="F40" s="104" t="str">
        <f>$E$13</f>
        <v>Encarregado</v>
      </c>
    </row>
    <row r="41" spans="1:6" ht="31.2">
      <c r="A41" s="365"/>
      <c r="B41" s="93" t="s">
        <v>7</v>
      </c>
      <c r="C41" s="93" t="s">
        <v>8</v>
      </c>
      <c r="D41" s="93" t="s">
        <v>97</v>
      </c>
      <c r="E41" s="93" t="s">
        <v>7</v>
      </c>
      <c r="F41" s="104" t="s">
        <v>7</v>
      </c>
    </row>
    <row r="42" spans="1:6">
      <c r="A42" s="111" t="s">
        <v>72</v>
      </c>
      <c r="B42" s="99">
        <v>2.8000000000000001E-2</v>
      </c>
      <c r="C42" s="100">
        <v>2.8000000000000001E-2</v>
      </c>
      <c r="D42" s="100" t="s">
        <v>98</v>
      </c>
      <c r="E42" s="100">
        <v>2.8000000000000001E-2</v>
      </c>
      <c r="F42" s="120">
        <v>2.8000000000000001E-2</v>
      </c>
    </row>
    <row r="43" spans="1:6">
      <c r="A43" s="111" t="s">
        <v>75</v>
      </c>
      <c r="B43" s="99">
        <v>2.8000000000000001E-2</v>
      </c>
      <c r="C43" s="100" t="s">
        <v>98</v>
      </c>
      <c r="D43" s="100">
        <v>2.8000000000000001E-2</v>
      </c>
      <c r="E43" s="100" t="s">
        <v>98</v>
      </c>
      <c r="F43" s="120" t="s">
        <v>98</v>
      </c>
    </row>
    <row r="44" spans="1:6">
      <c r="A44" s="111" t="s">
        <v>78</v>
      </c>
      <c r="B44" s="99">
        <v>2.8000000000000001E-2</v>
      </c>
      <c r="C44" s="100" t="s">
        <v>98</v>
      </c>
      <c r="D44" s="100">
        <v>2.8000000000000001E-2</v>
      </c>
      <c r="E44" s="100" t="s">
        <v>98</v>
      </c>
      <c r="F44" s="120" t="s">
        <v>98</v>
      </c>
    </row>
    <row r="45" spans="1:6">
      <c r="A45" s="111" t="s">
        <v>81</v>
      </c>
      <c r="B45" s="99">
        <v>2.8000000000000001E-2</v>
      </c>
      <c r="C45" s="100" t="s">
        <v>98</v>
      </c>
      <c r="D45" s="100">
        <v>2.8000000000000001E-2</v>
      </c>
      <c r="E45" s="100" t="s">
        <v>98</v>
      </c>
      <c r="F45" s="120" t="s">
        <v>98</v>
      </c>
    </row>
    <row r="46" spans="1:6">
      <c r="A46" s="111" t="s">
        <v>83</v>
      </c>
      <c r="B46" s="99">
        <v>2.8000000000000001E-2</v>
      </c>
      <c r="C46" s="100" t="s">
        <v>98</v>
      </c>
      <c r="D46" s="100">
        <v>2.8000000000000001E-2</v>
      </c>
      <c r="E46" s="100" t="s">
        <v>98</v>
      </c>
      <c r="F46" s="120" t="s">
        <v>98</v>
      </c>
    </row>
    <row r="47" spans="1:6" ht="16.2" thickBot="1">
      <c r="A47" s="113" t="s">
        <v>84</v>
      </c>
      <c r="B47" s="121">
        <v>2.8000000000000001E-2</v>
      </c>
      <c r="C47" s="122" t="s">
        <v>98</v>
      </c>
      <c r="D47" s="122">
        <v>2.8000000000000001E-2</v>
      </c>
      <c r="E47" s="122" t="s">
        <v>98</v>
      </c>
      <c r="F47" s="123" t="s">
        <v>98</v>
      </c>
    </row>
    <row r="48" spans="1:6" ht="16.2" thickBot="1"/>
    <row r="49" spans="1:6">
      <c r="A49" s="361" t="s">
        <v>99</v>
      </c>
      <c r="B49" s="362"/>
      <c r="C49" s="362"/>
      <c r="D49" s="362"/>
      <c r="E49" s="362"/>
      <c r="F49" s="363"/>
    </row>
    <row r="50" spans="1:6">
      <c r="A50" s="364" t="s">
        <v>62</v>
      </c>
      <c r="B50" s="93" t="str">
        <f>$C$13</f>
        <v>Servente de limpeza</v>
      </c>
      <c r="C50" s="93" t="str">
        <f>$C$13</f>
        <v>Servente de limpeza</v>
      </c>
      <c r="D50" s="93" t="str">
        <f>$C$13</f>
        <v>Servente de limpeza</v>
      </c>
      <c r="E50" s="93" t="str">
        <f>$D$13</f>
        <v>Copeira</v>
      </c>
      <c r="F50" s="104" t="str">
        <f>$E$13</f>
        <v>Encarregado</v>
      </c>
    </row>
    <row r="51" spans="1:6" ht="31.2">
      <c r="A51" s="365"/>
      <c r="B51" s="93" t="s">
        <v>7</v>
      </c>
      <c r="C51" s="93" t="s">
        <v>8</v>
      </c>
      <c r="D51" s="223" t="s">
        <v>100</v>
      </c>
      <c r="E51" s="93" t="s">
        <v>7</v>
      </c>
      <c r="F51" s="104" t="s">
        <v>7</v>
      </c>
    </row>
    <row r="52" spans="1:6">
      <c r="A52" s="111" t="s">
        <v>72</v>
      </c>
      <c r="B52" s="99">
        <v>3.1899999999999998E-2</v>
      </c>
      <c r="C52" s="99">
        <v>3.1899999999999998E-2</v>
      </c>
      <c r="D52" s="99" t="s">
        <v>98</v>
      </c>
      <c r="E52" s="100">
        <v>3.1899999999999998E-2</v>
      </c>
      <c r="F52" s="120">
        <v>3.1899999999999998E-2</v>
      </c>
    </row>
    <row r="53" spans="1:6">
      <c r="A53" s="111" t="s">
        <v>75</v>
      </c>
      <c r="B53" s="99">
        <v>3.1899999999999998E-2</v>
      </c>
      <c r="C53" s="99" t="s">
        <v>98</v>
      </c>
      <c r="D53" s="99">
        <v>3.1899999999999998E-2</v>
      </c>
      <c r="E53" s="100" t="s">
        <v>98</v>
      </c>
      <c r="F53" s="120" t="s">
        <v>98</v>
      </c>
    </row>
    <row r="54" spans="1:6">
      <c r="A54" s="111" t="s">
        <v>78</v>
      </c>
      <c r="B54" s="99">
        <v>3.1899999999999998E-2</v>
      </c>
      <c r="C54" s="99" t="s">
        <v>98</v>
      </c>
      <c r="D54" s="99">
        <v>3.1899999999999998E-2</v>
      </c>
      <c r="E54" s="100" t="s">
        <v>98</v>
      </c>
      <c r="F54" s="120" t="s">
        <v>98</v>
      </c>
    </row>
    <row r="55" spans="1:6">
      <c r="A55" s="111" t="s">
        <v>81</v>
      </c>
      <c r="B55" s="99">
        <v>3.1899999999999998E-2</v>
      </c>
      <c r="C55" s="99" t="s">
        <v>98</v>
      </c>
      <c r="D55" s="99">
        <v>3.1899999999999998E-2</v>
      </c>
      <c r="E55" s="100" t="s">
        <v>98</v>
      </c>
      <c r="F55" s="120" t="s">
        <v>98</v>
      </c>
    </row>
    <row r="56" spans="1:6">
      <c r="A56" s="111" t="s">
        <v>83</v>
      </c>
      <c r="B56" s="99">
        <v>3.1899999999999998E-2</v>
      </c>
      <c r="C56" s="99" t="s">
        <v>98</v>
      </c>
      <c r="D56" s="99">
        <v>3.1899999999999998E-2</v>
      </c>
      <c r="E56" s="100" t="s">
        <v>98</v>
      </c>
      <c r="F56" s="120" t="s">
        <v>98</v>
      </c>
    </row>
    <row r="57" spans="1:6" ht="16.2" thickBot="1">
      <c r="A57" s="113" t="s">
        <v>84</v>
      </c>
      <c r="B57" s="121">
        <v>3.1899999999999998E-2</v>
      </c>
      <c r="C57" s="121" t="s">
        <v>98</v>
      </c>
      <c r="D57" s="121">
        <v>3.1899999999999998E-2</v>
      </c>
      <c r="E57" s="122" t="s">
        <v>98</v>
      </c>
      <c r="F57" s="123" t="s">
        <v>98</v>
      </c>
    </row>
    <row r="58" spans="1:6" ht="16.2" thickBot="1"/>
    <row r="59" spans="1:6">
      <c r="A59" s="361" t="s">
        <v>101</v>
      </c>
      <c r="B59" s="362"/>
      <c r="C59" s="362"/>
      <c r="D59" s="362"/>
      <c r="E59" s="362"/>
      <c r="F59" s="363"/>
    </row>
    <row r="60" spans="1:6">
      <c r="A60" s="364" t="s">
        <v>62</v>
      </c>
      <c r="B60" s="93" t="str">
        <f>$C$13</f>
        <v>Servente de limpeza</v>
      </c>
      <c r="C60" s="93" t="str">
        <f>$C$13</f>
        <v>Servente de limpeza</v>
      </c>
      <c r="D60" s="93" t="str">
        <f>$C$13</f>
        <v>Servente de limpeza</v>
      </c>
      <c r="E60" s="93" t="str">
        <f>$D$13</f>
        <v>Copeira</v>
      </c>
      <c r="F60" s="104" t="str">
        <f>$E$13</f>
        <v>Encarregado</v>
      </c>
    </row>
    <row r="61" spans="1:6" ht="31.2">
      <c r="A61" s="365"/>
      <c r="B61" s="93" t="s">
        <v>7</v>
      </c>
      <c r="C61" s="93" t="s">
        <v>8</v>
      </c>
      <c r="D61" s="223" t="s">
        <v>100</v>
      </c>
      <c r="E61" s="93" t="s">
        <v>7</v>
      </c>
      <c r="F61" s="104" t="s">
        <v>7</v>
      </c>
    </row>
    <row r="62" spans="1:6">
      <c r="A62" s="111" t="s">
        <v>72</v>
      </c>
      <c r="B62" s="118">
        <v>2.5000000000000001E-2</v>
      </c>
      <c r="C62" s="100">
        <v>2.5000000000000001E-2</v>
      </c>
      <c r="D62" s="100" t="s">
        <v>98</v>
      </c>
      <c r="E62" s="100">
        <v>0.05</v>
      </c>
      <c r="F62" s="120">
        <v>0.05</v>
      </c>
    </row>
    <row r="63" spans="1:6">
      <c r="A63" s="111" t="s">
        <v>75</v>
      </c>
      <c r="B63" s="118">
        <v>0.05</v>
      </c>
      <c r="C63" s="100" t="s">
        <v>98</v>
      </c>
      <c r="D63" s="100">
        <v>0.05</v>
      </c>
      <c r="E63" s="100" t="s">
        <v>98</v>
      </c>
      <c r="F63" s="120" t="s">
        <v>98</v>
      </c>
    </row>
    <row r="64" spans="1:6">
      <c r="A64" s="111" t="s">
        <v>78</v>
      </c>
      <c r="B64" s="118">
        <v>0.05</v>
      </c>
      <c r="C64" s="100" t="s">
        <v>98</v>
      </c>
      <c r="D64" s="100">
        <v>0.05</v>
      </c>
      <c r="E64" s="100" t="s">
        <v>98</v>
      </c>
      <c r="F64" s="120" t="s">
        <v>98</v>
      </c>
    </row>
    <row r="65" spans="1:6">
      <c r="A65" s="111" t="s">
        <v>81</v>
      </c>
      <c r="B65" s="118">
        <v>0.03</v>
      </c>
      <c r="C65" s="100" t="s">
        <v>98</v>
      </c>
      <c r="D65" s="100">
        <v>0.03</v>
      </c>
      <c r="E65" s="100" t="s">
        <v>98</v>
      </c>
      <c r="F65" s="120" t="s">
        <v>98</v>
      </c>
    </row>
    <row r="66" spans="1:6">
      <c r="A66" s="111" t="s">
        <v>83</v>
      </c>
      <c r="B66" s="118">
        <v>0.05</v>
      </c>
      <c r="C66" s="100" t="s">
        <v>98</v>
      </c>
      <c r="D66" s="100">
        <v>0.05</v>
      </c>
      <c r="E66" s="100" t="s">
        <v>98</v>
      </c>
      <c r="F66" s="120" t="s">
        <v>98</v>
      </c>
    </row>
    <row r="67" spans="1:6" ht="16.2" thickBot="1">
      <c r="A67" s="113" t="s">
        <v>84</v>
      </c>
      <c r="B67" s="119">
        <v>0.03</v>
      </c>
      <c r="C67" s="122" t="s">
        <v>98</v>
      </c>
      <c r="D67" s="122">
        <v>0.03</v>
      </c>
      <c r="E67" s="122" t="s">
        <v>98</v>
      </c>
      <c r="F67" s="123" t="s">
        <v>98</v>
      </c>
    </row>
  </sheetData>
  <mergeCells count="26">
    <mergeCell ref="A25:B25"/>
    <mergeCell ref="A21:B21"/>
    <mergeCell ref="A22:B22"/>
    <mergeCell ref="A23:B23"/>
    <mergeCell ref="A24:B24"/>
    <mergeCell ref="A1:F1"/>
    <mergeCell ref="A6:F6"/>
    <mergeCell ref="A3:F3"/>
    <mergeCell ref="A4:F4"/>
    <mergeCell ref="A13:B13"/>
    <mergeCell ref="A26:B26"/>
    <mergeCell ref="A12:F12"/>
    <mergeCell ref="A40:A41"/>
    <mergeCell ref="A50:A51"/>
    <mergeCell ref="A60:A61"/>
    <mergeCell ref="A49:F49"/>
    <mergeCell ref="A39:F39"/>
    <mergeCell ref="A59:F59"/>
    <mergeCell ref="A29:F29"/>
    <mergeCell ref="A20:B20"/>
    <mergeCell ref="A14:B14"/>
    <mergeCell ref="A15:B15"/>
    <mergeCell ref="A16:B16"/>
    <mergeCell ref="A17:B17"/>
    <mergeCell ref="A18:B18"/>
    <mergeCell ref="A19:B19"/>
  </mergeCells>
  <pageMargins left="0.511811024" right="0.511811024" top="0.78740157499999996" bottom="0.78740157499999996" header="0.31496062000000002" footer="0.31496062000000002"/>
  <pageSetup paperSize="3" scale="87" fitToHeight="0" orientation="portrait" r:id="rId1"/>
  <headerFooter>
    <oddFooter>&amp;C&amp;A
&amp;P de &amp;N</oddFooter>
  </headerFooter>
  <ignoredErrors>
    <ignoredError sqref="C19:E19 C21 C23:E23"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AEACA-5C2C-4308-A39D-750DDB293D23}">
  <sheetPr>
    <pageSetUpPr fitToPage="1"/>
  </sheetPr>
  <dimension ref="A1:H146"/>
  <sheetViews>
    <sheetView view="pageBreakPreview" topLeftCell="A126" zoomScale="90" zoomScaleNormal="70" zoomScaleSheetLayoutView="90" workbookViewId="0">
      <selection activeCell="B24" sqref="B24:C24"/>
    </sheetView>
  </sheetViews>
  <sheetFormatPr defaultColWidth="8.5546875" defaultRowHeight="15.6"/>
  <cols>
    <col min="1" max="1" width="8.5546875" style="1"/>
    <col min="2" max="2" width="64.109375" style="1" customWidth="1"/>
    <col min="3" max="3" width="18" style="1" customWidth="1"/>
    <col min="4" max="4" width="3.5546875" style="1" customWidth="1"/>
    <col min="5" max="5" width="54.6640625" style="1" customWidth="1"/>
    <col min="6" max="6" width="49" style="1" customWidth="1"/>
    <col min="7" max="7" width="46.6640625" style="1" customWidth="1"/>
    <col min="8" max="8" width="42.5546875" style="1" customWidth="1"/>
    <col min="9" max="10" width="12.44140625" style="1" customWidth="1"/>
    <col min="11" max="12" width="8.5546875" style="1"/>
    <col min="13" max="13" width="9.109375" style="1" bestFit="1" customWidth="1"/>
    <col min="14" max="16384" width="8.5546875" style="1"/>
  </cols>
  <sheetData>
    <row r="1" spans="1:8" ht="31.5" customHeight="1">
      <c r="A1" s="320" t="s">
        <v>10</v>
      </c>
      <c r="B1" s="320"/>
      <c r="C1" s="320"/>
      <c r="D1" s="320"/>
      <c r="E1" s="320"/>
      <c r="F1" s="320"/>
      <c r="G1" s="320"/>
      <c r="H1" s="320"/>
    </row>
    <row r="2" spans="1:8" ht="9.75" customHeight="1">
      <c r="A2" s="2"/>
      <c r="B2" s="2"/>
      <c r="C2" s="2"/>
      <c r="D2" s="2"/>
      <c r="E2" s="2"/>
      <c r="F2" s="2"/>
    </row>
    <row r="3" spans="1:8">
      <c r="A3" s="321" t="str">
        <f>PROPOSTA_GLOBAL!A4</f>
        <v>SUPERINTENDÊNCIA REGIONAL DA POLÍCIA FEDERAL NO PARANÁ</v>
      </c>
      <c r="B3" s="321"/>
      <c r="C3" s="321"/>
      <c r="D3" s="321"/>
      <c r="E3" s="321"/>
      <c r="F3" s="321"/>
      <c r="G3" s="321"/>
      <c r="H3" s="321"/>
    </row>
    <row r="4" spans="1:8" ht="27" customHeight="1">
      <c r="A4" s="321" t="str">
        <f>PROPOSTA_GLOBAL!A5</f>
        <v>PROCESSO ADMINISTRATIVO SEI Nº 08385.000837/2025-50</v>
      </c>
      <c r="B4" s="321"/>
      <c r="C4" s="321"/>
      <c r="D4" s="321"/>
      <c r="E4" s="321"/>
      <c r="F4" s="321"/>
      <c r="G4" s="321"/>
      <c r="H4" s="321"/>
    </row>
    <row r="5" spans="1:8" ht="13.5" customHeight="1">
      <c r="A5" s="2"/>
      <c r="B5" s="2"/>
      <c r="C5" s="2"/>
      <c r="D5" s="2"/>
      <c r="E5" s="2"/>
      <c r="F5" s="2"/>
    </row>
    <row r="6" spans="1:8" ht="8.25" customHeight="1">
      <c r="A6" s="351"/>
      <c r="B6" s="351"/>
      <c r="C6" s="351"/>
      <c r="D6" s="351"/>
      <c r="E6" s="351"/>
      <c r="F6" s="351"/>
      <c r="G6" s="351"/>
      <c r="H6" s="351"/>
    </row>
    <row r="7" spans="1:8" ht="14.25" customHeight="1">
      <c r="A7" s="3"/>
      <c r="B7" s="3"/>
      <c r="C7" s="3"/>
      <c r="D7" s="3"/>
      <c r="E7" s="36"/>
      <c r="F7" s="36"/>
    </row>
    <row r="8" spans="1:8">
      <c r="A8" s="37">
        <v>1</v>
      </c>
      <c r="B8" s="394" t="s">
        <v>102</v>
      </c>
      <c r="C8" s="394"/>
      <c r="D8" s="77"/>
      <c r="E8" s="255" t="s">
        <v>103</v>
      </c>
      <c r="F8" s="255" t="s">
        <v>103</v>
      </c>
      <c r="G8" s="255" t="s">
        <v>103</v>
      </c>
      <c r="H8" s="255" t="s">
        <v>103</v>
      </c>
    </row>
    <row r="9" spans="1:8">
      <c r="A9" s="37">
        <v>2</v>
      </c>
      <c r="B9" s="394" t="s">
        <v>108</v>
      </c>
      <c r="C9" s="394"/>
      <c r="D9" s="77"/>
      <c r="E9" s="256" t="s">
        <v>109</v>
      </c>
      <c r="F9" s="256" t="s">
        <v>110</v>
      </c>
      <c r="G9" s="256" t="s">
        <v>111</v>
      </c>
      <c r="H9" s="256" t="s">
        <v>111</v>
      </c>
    </row>
    <row r="10" spans="1:8">
      <c r="A10" s="37">
        <v>3</v>
      </c>
      <c r="B10" s="394" t="s">
        <v>106</v>
      </c>
      <c r="C10" s="394"/>
      <c r="D10" s="77"/>
      <c r="E10" s="89" t="str">
        <f>DADOS_BASICOS!C13</f>
        <v>Servente de limpeza</v>
      </c>
      <c r="F10" s="89" t="str">
        <f>DADOS_BASICOS!C13</f>
        <v>Servente de limpeza</v>
      </c>
      <c r="G10" s="89" t="str">
        <f>DADOS_BASICOS!D13</f>
        <v>Copeira</v>
      </c>
      <c r="H10" s="89" t="str">
        <f>DADOS_BASICOS!E13</f>
        <v>Encarregado</v>
      </c>
    </row>
    <row r="11" spans="1:8">
      <c r="A11" s="37">
        <v>4</v>
      </c>
      <c r="B11" s="394" t="s">
        <v>116</v>
      </c>
      <c r="C11" s="394"/>
      <c r="D11" s="77"/>
      <c r="E11" s="76" t="s">
        <v>115</v>
      </c>
      <c r="F11" s="76" t="s">
        <v>114</v>
      </c>
      <c r="G11" s="76" t="s">
        <v>115</v>
      </c>
      <c r="H11" s="76" t="s">
        <v>115</v>
      </c>
    </row>
    <row r="12" spans="1:8">
      <c r="A12" s="37">
        <v>5</v>
      </c>
      <c r="B12" s="394" t="s">
        <v>104</v>
      </c>
      <c r="C12" s="394"/>
      <c r="D12" s="77"/>
      <c r="E12" s="78" t="str">
        <f>DADOS_BASICOS!C14</f>
        <v>5143-20</v>
      </c>
      <c r="F12" s="78" t="str">
        <f>DADOS_BASICOS!C14</f>
        <v>5143-20</v>
      </c>
      <c r="G12" s="78" t="str">
        <f>DADOS_BASICOS!D14</f>
        <v>5134-25</v>
      </c>
      <c r="H12" s="78" t="str">
        <f>DADOS_BASICOS!E14</f>
        <v xml:space="preserve">4101-05 </v>
      </c>
    </row>
    <row r="13" spans="1:8">
      <c r="A13" s="37">
        <v>6</v>
      </c>
      <c r="B13" s="394" t="s">
        <v>105</v>
      </c>
      <c r="C13" s="394"/>
      <c r="D13" s="77"/>
      <c r="E13" s="267">
        <f>DADOS_BASICOS!C17</f>
        <v>1764</v>
      </c>
      <c r="F13" s="267">
        <f>DADOS_BASICOS!C17</f>
        <v>1764</v>
      </c>
      <c r="G13" s="267">
        <f>DADOS_BASICOS!D17</f>
        <v>1821</v>
      </c>
      <c r="H13" s="267">
        <f>DADOS_BASICOS!E17</f>
        <v>2232</v>
      </c>
    </row>
    <row r="14" spans="1:8">
      <c r="A14" s="37">
        <v>7</v>
      </c>
      <c r="B14" s="388" t="s">
        <v>107</v>
      </c>
      <c r="C14" s="389"/>
      <c r="D14" s="77"/>
      <c r="E14" s="290">
        <f>DADOS_BASICOS!C16</f>
        <v>45689</v>
      </c>
      <c r="F14" s="290">
        <f>DADOS_BASICOS!C16</f>
        <v>45689</v>
      </c>
      <c r="G14" s="290">
        <f>DADOS_BASICOS!D16</f>
        <v>45689</v>
      </c>
      <c r="H14" s="290">
        <f>DADOS_BASICOS!E16</f>
        <v>45689</v>
      </c>
    </row>
    <row r="15" spans="1:8" ht="19.5" customHeight="1">
      <c r="A15" s="37">
        <v>8</v>
      </c>
      <c r="B15" s="394" t="s">
        <v>82</v>
      </c>
      <c r="C15" s="394"/>
      <c r="D15" s="77"/>
      <c r="E15" s="94">
        <f>DADOS_BASICOS!C18</f>
        <v>40</v>
      </c>
      <c r="F15" s="94">
        <f>DADOS_BASICOS!C18</f>
        <v>40</v>
      </c>
      <c r="G15" s="94">
        <f>DADOS_BASICOS!D18</f>
        <v>40</v>
      </c>
      <c r="H15" s="94">
        <f>DADOS_BASICOS!E18</f>
        <v>40</v>
      </c>
    </row>
    <row r="16" spans="1:8">
      <c r="A16" s="37">
        <v>9</v>
      </c>
      <c r="B16" s="394" t="s">
        <v>112</v>
      </c>
      <c r="C16" s="394"/>
      <c r="D16" s="77"/>
      <c r="E16" s="76" t="str">
        <f>DADOS_BASICOS!C15</f>
        <v>PR000074/2025</v>
      </c>
      <c r="F16" s="76" t="str">
        <f>DADOS_BASICOS!C15</f>
        <v>PR000074/2025</v>
      </c>
      <c r="G16" s="76" t="str">
        <f>DADOS_BASICOS!D15</f>
        <v>PR000074/2025</v>
      </c>
      <c r="H16" s="76" t="str">
        <f>DADOS_BASICOS!E15</f>
        <v>PR000074/2025</v>
      </c>
    </row>
    <row r="17" spans="1:8" ht="15.75" customHeight="1">
      <c r="A17" s="37">
        <v>10</v>
      </c>
      <c r="B17" s="394" t="s">
        <v>113</v>
      </c>
      <c r="C17" s="394"/>
      <c r="D17" s="77"/>
      <c r="E17" s="76" t="s">
        <v>114</v>
      </c>
      <c r="F17" s="76" t="s">
        <v>115</v>
      </c>
      <c r="G17" s="76" t="s">
        <v>114</v>
      </c>
      <c r="H17" s="76" t="s">
        <v>114</v>
      </c>
    </row>
    <row r="18" spans="1:8" ht="15.75" customHeight="1">
      <c r="A18" s="37">
        <v>11</v>
      </c>
      <c r="B18" s="394" t="s">
        <v>117</v>
      </c>
      <c r="C18" s="394"/>
      <c r="D18" s="77"/>
      <c r="E18" s="94">
        <f>PRODUTIVIDADE!L9</f>
        <v>17</v>
      </c>
      <c r="F18" s="94">
        <f>PRODUTIVIDADE!K35</f>
        <v>1</v>
      </c>
      <c r="G18" s="94">
        <v>2</v>
      </c>
      <c r="H18" s="94">
        <v>1</v>
      </c>
    </row>
    <row r="19" spans="1:8" ht="15.75" customHeight="1">
      <c r="A19" s="4"/>
      <c r="B19" s="4"/>
      <c r="C19" s="4"/>
      <c r="D19" s="4"/>
      <c r="E19" s="4"/>
      <c r="F19" s="4"/>
    </row>
    <row r="20" spans="1:8">
      <c r="A20" s="351" t="s">
        <v>118</v>
      </c>
      <c r="B20" s="351"/>
      <c r="C20" s="351"/>
      <c r="D20" s="351"/>
      <c r="E20" s="351"/>
      <c r="F20" s="351"/>
      <c r="G20" s="351"/>
      <c r="H20" s="351"/>
    </row>
    <row r="21" spans="1:8">
      <c r="A21" s="4"/>
      <c r="B21" s="4"/>
      <c r="C21" s="4"/>
      <c r="D21" s="4"/>
      <c r="E21" s="4"/>
      <c r="F21" s="4"/>
    </row>
    <row r="22" spans="1:8">
      <c r="A22" s="41">
        <v>1</v>
      </c>
      <c r="B22" s="373" t="s">
        <v>119</v>
      </c>
      <c r="C22" s="374"/>
      <c r="D22" s="66"/>
      <c r="E22" s="38" t="s">
        <v>120</v>
      </c>
      <c r="F22" s="38" t="s">
        <v>120</v>
      </c>
      <c r="G22" s="38" t="s">
        <v>120</v>
      </c>
      <c r="H22" s="38" t="s">
        <v>120</v>
      </c>
    </row>
    <row r="23" spans="1:8" ht="15.6" customHeight="1">
      <c r="A23" s="43" t="s">
        <v>121</v>
      </c>
      <c r="B23" s="390" t="s">
        <v>563</v>
      </c>
      <c r="C23" s="391"/>
      <c r="D23" s="67"/>
      <c r="E23" s="45">
        <f>DADOS_BASICOS!C19</f>
        <v>1764</v>
      </c>
      <c r="F23" s="45">
        <f>DADOS_BASICOS!C19</f>
        <v>1764</v>
      </c>
      <c r="G23" s="45">
        <f>DADOS_BASICOS!D19</f>
        <v>1821</v>
      </c>
      <c r="H23" s="45">
        <f>DADOS_BASICOS!E19</f>
        <v>2232</v>
      </c>
    </row>
    <row r="24" spans="1:8" ht="15.6" customHeight="1">
      <c r="A24" s="43" t="s">
        <v>122</v>
      </c>
      <c r="B24" s="392" t="s">
        <v>123</v>
      </c>
      <c r="C24" s="393"/>
      <c r="D24" s="68"/>
      <c r="E24" s="44">
        <f>IF(E17="SIM",(E23*0.3),0)</f>
        <v>529.19999999999993</v>
      </c>
      <c r="F24" s="44">
        <f>IF(F17="SIM",(F23*0.3),0)</f>
        <v>0</v>
      </c>
      <c r="G24" s="44">
        <f>IF(G17="SIM",(G23*0.3),0)</f>
        <v>546.29999999999995</v>
      </c>
      <c r="H24" s="44">
        <f>IF(H17="SIM",(H23*0.3),0)</f>
        <v>669.6</v>
      </c>
    </row>
    <row r="25" spans="1:8">
      <c r="A25" s="43" t="s">
        <v>124</v>
      </c>
      <c r="B25" s="371" t="s">
        <v>125</v>
      </c>
      <c r="C25" s="372"/>
      <c r="D25" s="69"/>
      <c r="E25" s="44">
        <v>0</v>
      </c>
      <c r="F25" s="44">
        <v>0</v>
      </c>
      <c r="G25" s="44">
        <v>0</v>
      </c>
      <c r="H25" s="44">
        <v>0</v>
      </c>
    </row>
    <row r="26" spans="1:8">
      <c r="A26" s="43" t="s">
        <v>126</v>
      </c>
      <c r="B26" s="388" t="s">
        <v>127</v>
      </c>
      <c r="C26" s="389"/>
      <c r="D26" s="70"/>
      <c r="E26" s="44">
        <v>0</v>
      </c>
      <c r="F26" s="44">
        <v>0</v>
      </c>
      <c r="G26" s="44">
        <v>0</v>
      </c>
      <c r="H26" s="44">
        <v>0</v>
      </c>
    </row>
    <row r="27" spans="1:8">
      <c r="A27" s="43" t="s">
        <v>128</v>
      </c>
      <c r="B27" s="388" t="s">
        <v>129</v>
      </c>
      <c r="C27" s="389"/>
      <c r="D27" s="70"/>
      <c r="E27" s="44">
        <v>0</v>
      </c>
      <c r="F27" s="44">
        <v>0</v>
      </c>
      <c r="G27" s="44">
        <v>0</v>
      </c>
      <c r="H27" s="44">
        <v>0</v>
      </c>
    </row>
    <row r="28" spans="1:8">
      <c r="A28" s="43" t="s">
        <v>130</v>
      </c>
      <c r="B28" s="392" t="s">
        <v>131</v>
      </c>
      <c r="C28" s="393"/>
      <c r="D28" s="68"/>
      <c r="E28" s="266">
        <v>0</v>
      </c>
      <c r="F28" s="266">
        <v>0</v>
      </c>
      <c r="G28" s="266">
        <v>0</v>
      </c>
      <c r="H28" s="266">
        <v>0</v>
      </c>
    </row>
    <row r="29" spans="1:8">
      <c r="A29" s="43" t="s">
        <v>132</v>
      </c>
      <c r="B29" s="392" t="s">
        <v>133</v>
      </c>
      <c r="C29" s="393"/>
      <c r="D29" s="68"/>
      <c r="E29" s="266">
        <f>IF(E11="SIM",DADOS_BASICOS!C20,0)</f>
        <v>0</v>
      </c>
      <c r="F29" s="266">
        <f>IF(F11="SIM",DADOS_BASICOS!C20,0)</f>
        <v>122</v>
      </c>
      <c r="G29" s="266">
        <f>IF(G11="SIM",DADOS_BASICOS!D20,0)</f>
        <v>0</v>
      </c>
      <c r="H29" s="266">
        <f>IF(H11="SIM",DADOS_BASICOS!E20,0)</f>
        <v>0</v>
      </c>
    </row>
    <row r="30" spans="1:8">
      <c r="A30" s="43" t="s">
        <v>134</v>
      </c>
      <c r="B30" s="392" t="s">
        <v>135</v>
      </c>
      <c r="C30" s="393"/>
      <c r="D30" s="68"/>
      <c r="E30" s="266">
        <v>0</v>
      </c>
      <c r="F30" s="266">
        <v>0</v>
      </c>
      <c r="G30" s="266">
        <v>0</v>
      </c>
      <c r="H30" s="266">
        <v>0</v>
      </c>
    </row>
    <row r="31" spans="1:8">
      <c r="A31" s="376" t="s">
        <v>136</v>
      </c>
      <c r="B31" s="377"/>
      <c r="C31" s="378"/>
      <c r="D31" s="71"/>
      <c r="E31" s="46">
        <f>SUM(E23:E30)</f>
        <v>2293.1999999999998</v>
      </c>
      <c r="F31" s="46">
        <f>SUM(F23:F30)</f>
        <v>1886</v>
      </c>
      <c r="G31" s="46">
        <f>SUM(G23:G30)</f>
        <v>2367.3000000000002</v>
      </c>
      <c r="H31" s="46">
        <f>SUM(H23:H30)</f>
        <v>2901.6</v>
      </c>
    </row>
    <row r="32" spans="1:8">
      <c r="A32" s="4"/>
      <c r="B32" s="4"/>
      <c r="C32" s="4"/>
      <c r="D32" s="4"/>
      <c r="E32" s="4"/>
      <c r="F32" s="4"/>
    </row>
    <row r="33" spans="1:8">
      <c r="A33" s="351" t="s">
        <v>137</v>
      </c>
      <c r="B33" s="351"/>
      <c r="C33" s="351"/>
      <c r="D33" s="351"/>
      <c r="E33" s="351"/>
      <c r="F33" s="351"/>
      <c r="G33" s="351"/>
      <c r="H33" s="351"/>
    </row>
    <row r="34" spans="1:8">
      <c r="A34" s="8"/>
      <c r="B34" s="4"/>
      <c r="C34" s="4"/>
      <c r="D34" s="4"/>
      <c r="E34" s="4"/>
      <c r="F34" s="4"/>
    </row>
    <row r="35" spans="1:8">
      <c r="A35" s="395" t="s">
        <v>42</v>
      </c>
      <c r="B35" s="395"/>
      <c r="C35" s="395"/>
      <c r="D35" s="395"/>
      <c r="E35" s="395"/>
      <c r="F35" s="395"/>
      <c r="G35" s="395"/>
      <c r="H35" s="395"/>
    </row>
    <row r="36" spans="1:8" ht="15.75" customHeight="1">
      <c r="A36" s="41" t="s">
        <v>138</v>
      </c>
      <c r="B36" s="41" t="s">
        <v>139</v>
      </c>
      <c r="C36" s="41" t="s">
        <v>140</v>
      </c>
      <c r="D36" s="41"/>
      <c r="E36" s="41" t="s">
        <v>120</v>
      </c>
      <c r="F36" s="41" t="s">
        <v>120</v>
      </c>
      <c r="G36" s="41" t="s">
        <v>120</v>
      </c>
      <c r="H36" s="41" t="s">
        <v>120</v>
      </c>
    </row>
    <row r="37" spans="1:8">
      <c r="A37" s="43" t="s">
        <v>121</v>
      </c>
      <c r="B37" s="5" t="s">
        <v>141</v>
      </c>
      <c r="C37" s="18">
        <f>1/12</f>
        <v>8.3333333333333329E-2</v>
      </c>
      <c r="D37" s="18"/>
      <c r="E37" s="9">
        <f>E$31*$C$37</f>
        <v>191.09999999999997</v>
      </c>
      <c r="F37" s="9">
        <f>F$31*$C$37</f>
        <v>157.16666666666666</v>
      </c>
      <c r="G37" s="9">
        <f>G$31*$C$37</f>
        <v>197.27500000000001</v>
      </c>
      <c r="H37" s="9">
        <f>H$31*$C$37</f>
        <v>241.79999999999998</v>
      </c>
    </row>
    <row r="38" spans="1:8" ht="15.75" customHeight="1">
      <c r="A38" s="25" t="s">
        <v>122</v>
      </c>
      <c r="B38" s="220" t="s">
        <v>142</v>
      </c>
      <c r="C38" s="80">
        <v>0.121</v>
      </c>
      <c r="D38" s="80"/>
      <c r="E38" s="221">
        <f>E$31*$C$38</f>
        <v>277.47719999999998</v>
      </c>
      <c r="F38" s="221">
        <f>F$31*$C$38</f>
        <v>228.20599999999999</v>
      </c>
      <c r="G38" s="221">
        <f>G$31*$C$38</f>
        <v>286.44330000000002</v>
      </c>
      <c r="H38" s="221">
        <f>H$31*$C$38</f>
        <v>351.09359999999998</v>
      </c>
    </row>
    <row r="39" spans="1:8">
      <c r="A39" s="379" t="s">
        <v>143</v>
      </c>
      <c r="B39" s="379"/>
      <c r="C39" s="43"/>
      <c r="D39" s="43"/>
      <c r="E39" s="29">
        <f>SUM(E37:E38)</f>
        <v>468.57719999999995</v>
      </c>
      <c r="F39" s="29">
        <f>SUM(F37:F38)</f>
        <v>385.37266666666665</v>
      </c>
      <c r="G39" s="29">
        <f>SUM(G37:G38)</f>
        <v>483.7183</v>
      </c>
      <c r="H39" s="29">
        <f>SUM(H37:H38)</f>
        <v>592.89359999999999</v>
      </c>
    </row>
    <row r="40" spans="1:8">
      <c r="A40" s="4"/>
      <c r="B40" s="4"/>
      <c r="C40" s="4"/>
      <c r="D40" s="4"/>
      <c r="E40" s="4"/>
      <c r="F40" s="4"/>
    </row>
    <row r="41" spans="1:8" ht="15.75" customHeight="1">
      <c r="A41" s="396" t="s">
        <v>43</v>
      </c>
      <c r="B41" s="396"/>
      <c r="C41" s="396"/>
      <c r="D41" s="396"/>
      <c r="E41" s="396"/>
      <c r="F41" s="396"/>
      <c r="G41" s="396"/>
      <c r="H41" s="396"/>
    </row>
    <row r="42" spans="1:8" ht="15.75" customHeight="1">
      <c r="A42" s="375" t="s">
        <v>144</v>
      </c>
      <c r="B42" s="375"/>
      <c r="C42" s="375"/>
      <c r="D42" s="10"/>
      <c r="E42" s="10">
        <f>E31+E39</f>
        <v>2761.7771999999995</v>
      </c>
      <c r="F42" s="10">
        <f>F31+F39</f>
        <v>2271.3726666666666</v>
      </c>
      <c r="G42" s="10">
        <f>G31+G39</f>
        <v>2851.0183000000002</v>
      </c>
      <c r="H42" s="10">
        <f>H31+H39</f>
        <v>3494.4935999999998</v>
      </c>
    </row>
    <row r="43" spans="1:8" ht="32.25" customHeight="1">
      <c r="A43" s="41" t="s">
        <v>145</v>
      </c>
      <c r="B43" s="41" t="s">
        <v>146</v>
      </c>
      <c r="C43" s="41" t="s">
        <v>140</v>
      </c>
      <c r="D43" s="41"/>
      <c r="E43" s="41" t="s">
        <v>120</v>
      </c>
      <c r="F43" s="41" t="s">
        <v>120</v>
      </c>
      <c r="G43" s="41" t="s">
        <v>120</v>
      </c>
      <c r="H43" s="41" t="s">
        <v>120</v>
      </c>
    </row>
    <row r="44" spans="1:8">
      <c r="A44" s="43" t="s">
        <v>121</v>
      </c>
      <c r="B44" s="5" t="s">
        <v>147</v>
      </c>
      <c r="C44" s="27">
        <v>0.2</v>
      </c>
      <c r="D44" s="27"/>
      <c r="E44" s="28">
        <f>E$42*$C$44</f>
        <v>552.35543999999993</v>
      </c>
      <c r="F44" s="28">
        <f>F$42*$C$44</f>
        <v>454.27453333333335</v>
      </c>
      <c r="G44" s="28">
        <f>G$42*$C$44</f>
        <v>570.20366000000001</v>
      </c>
      <c r="H44" s="28">
        <f>H$42*$C$44</f>
        <v>698.89872000000003</v>
      </c>
    </row>
    <row r="45" spans="1:8">
      <c r="A45" s="43" t="s">
        <v>122</v>
      </c>
      <c r="B45" s="5" t="s">
        <v>148</v>
      </c>
      <c r="C45" s="11">
        <v>2.5000000000000001E-2</v>
      </c>
      <c r="D45" s="11"/>
      <c r="E45" s="28">
        <f>E$42*$C$45</f>
        <v>69.044429999999991</v>
      </c>
      <c r="F45" s="28">
        <f>F$42*$C$45</f>
        <v>56.784316666666669</v>
      </c>
      <c r="G45" s="28">
        <f>G$42*$C$45</f>
        <v>71.275457500000002</v>
      </c>
      <c r="H45" s="28">
        <f>H$42*$C$45</f>
        <v>87.362340000000003</v>
      </c>
    </row>
    <row r="46" spans="1:8">
      <c r="A46" s="43" t="s">
        <v>124</v>
      </c>
      <c r="B46" s="6" t="s">
        <v>149</v>
      </c>
      <c r="C46" s="47">
        <v>0.03</v>
      </c>
      <c r="D46" s="47"/>
      <c r="E46" s="28">
        <f>E$42*$C$46</f>
        <v>82.853315999999978</v>
      </c>
      <c r="F46" s="28">
        <f>F$42*$C$46</f>
        <v>68.141179999999991</v>
      </c>
      <c r="G46" s="28">
        <f>G$42*$C$46</f>
        <v>85.530549000000008</v>
      </c>
      <c r="H46" s="28">
        <f>H$42*$C$46</f>
        <v>104.834808</v>
      </c>
    </row>
    <row r="47" spans="1:8">
      <c r="A47" s="43" t="s">
        <v>126</v>
      </c>
      <c r="B47" s="5" t="s">
        <v>150</v>
      </c>
      <c r="C47" s="11">
        <v>1.4999999999999999E-2</v>
      </c>
      <c r="D47" s="11"/>
      <c r="E47" s="28">
        <f>E$42*$C$47</f>
        <v>41.426657999999989</v>
      </c>
      <c r="F47" s="28">
        <f>F$42*$C$47</f>
        <v>34.070589999999996</v>
      </c>
      <c r="G47" s="28">
        <f>G$42*$C$47</f>
        <v>42.765274500000004</v>
      </c>
      <c r="H47" s="28">
        <f>H$42*$C$47</f>
        <v>52.417403999999998</v>
      </c>
    </row>
    <row r="48" spans="1:8">
      <c r="A48" s="43" t="s">
        <v>128</v>
      </c>
      <c r="B48" s="5" t="s">
        <v>151</v>
      </c>
      <c r="C48" s="11">
        <v>0.01</v>
      </c>
      <c r="D48" s="11"/>
      <c r="E48" s="28">
        <f>E$42*$C$48</f>
        <v>27.617771999999995</v>
      </c>
      <c r="F48" s="28">
        <f>F$42*$C$48</f>
        <v>22.713726666666666</v>
      </c>
      <c r="G48" s="28">
        <f>G$42*$C$48</f>
        <v>28.510183000000001</v>
      </c>
      <c r="H48" s="28">
        <f>H$42*$C$48</f>
        <v>34.944935999999998</v>
      </c>
    </row>
    <row r="49" spans="1:8">
      <c r="A49" s="43" t="s">
        <v>130</v>
      </c>
      <c r="B49" s="5" t="s">
        <v>152</v>
      </c>
      <c r="C49" s="11">
        <v>6.0000000000000001E-3</v>
      </c>
      <c r="D49" s="11"/>
      <c r="E49" s="28">
        <f>E$42*$C$49</f>
        <v>16.570663199999998</v>
      </c>
      <c r="F49" s="28">
        <f>F$42*$C$49</f>
        <v>13.628235999999999</v>
      </c>
      <c r="G49" s="28">
        <f>G$42*$C$49</f>
        <v>17.106109800000002</v>
      </c>
      <c r="H49" s="28">
        <f>H$42*$C$49</f>
        <v>20.966961599999998</v>
      </c>
    </row>
    <row r="50" spans="1:8">
      <c r="A50" s="43" t="s">
        <v>132</v>
      </c>
      <c r="B50" s="5" t="s">
        <v>153</v>
      </c>
      <c r="C50" s="11">
        <v>2E-3</v>
      </c>
      <c r="D50" s="11"/>
      <c r="E50" s="28">
        <f>E$42*$C$50</f>
        <v>5.5235543999999992</v>
      </c>
      <c r="F50" s="28">
        <f>F$42*$C$50</f>
        <v>4.5427453333333334</v>
      </c>
      <c r="G50" s="28">
        <f>G$42*$C$50</f>
        <v>5.7020366000000005</v>
      </c>
      <c r="H50" s="28">
        <f>H$42*$C$50</f>
        <v>6.9889871999999995</v>
      </c>
    </row>
    <row r="51" spans="1:8">
      <c r="A51" s="43" t="s">
        <v>134</v>
      </c>
      <c r="B51" s="5" t="s">
        <v>154</v>
      </c>
      <c r="C51" s="11">
        <v>0.08</v>
      </c>
      <c r="D51" s="11"/>
      <c r="E51" s="28">
        <f>E$42*$C$51</f>
        <v>220.94217599999996</v>
      </c>
      <c r="F51" s="28">
        <f>F$42*$C$51</f>
        <v>181.70981333333333</v>
      </c>
      <c r="G51" s="28">
        <f>G$42*$C$51</f>
        <v>228.08146400000001</v>
      </c>
      <c r="H51" s="28">
        <f>H$42*$C$51</f>
        <v>279.55948799999999</v>
      </c>
    </row>
    <row r="52" spans="1:8">
      <c r="A52" s="379" t="s">
        <v>155</v>
      </c>
      <c r="B52" s="379"/>
      <c r="C52" s="13">
        <f>SUM(C44:C51)</f>
        <v>0.36800000000000005</v>
      </c>
      <c r="D52" s="13"/>
      <c r="E52" s="29">
        <f>SUM(E44:E51)</f>
        <v>1016.3340095999997</v>
      </c>
      <c r="F52" s="29">
        <f t="shared" ref="F52" si="0">SUM(F44:F51)</f>
        <v>835.86514133333321</v>
      </c>
      <c r="G52" s="29">
        <f>SUM(G44:G51)</f>
        <v>1049.1747344000003</v>
      </c>
      <c r="H52" s="29">
        <f>SUM(H44:H51)</f>
        <v>1285.9736447999999</v>
      </c>
    </row>
    <row r="53" spans="1:8" ht="15.75" customHeight="1">
      <c r="A53" s="14"/>
      <c r="B53" s="14"/>
      <c r="C53" s="14"/>
      <c r="D53" s="14"/>
      <c r="E53" s="14"/>
      <c r="F53" s="14"/>
      <c r="G53" s="7"/>
      <c r="H53" s="7"/>
    </row>
    <row r="54" spans="1:8">
      <c r="A54" s="343" t="s">
        <v>44</v>
      </c>
      <c r="B54" s="343"/>
      <c r="C54" s="343"/>
      <c r="D54" s="343"/>
      <c r="E54" s="343"/>
      <c r="F54" s="343"/>
      <c r="G54" s="343"/>
      <c r="H54" s="343"/>
    </row>
    <row r="55" spans="1:8">
      <c r="A55" s="41" t="s">
        <v>156</v>
      </c>
      <c r="B55" s="373" t="s">
        <v>157</v>
      </c>
      <c r="C55" s="374"/>
      <c r="D55" s="41"/>
      <c r="E55" s="41" t="s">
        <v>120</v>
      </c>
      <c r="F55" s="41" t="s">
        <v>120</v>
      </c>
      <c r="G55" s="41" t="s">
        <v>120</v>
      </c>
      <c r="H55" s="41" t="s">
        <v>120</v>
      </c>
    </row>
    <row r="56" spans="1:8">
      <c r="A56" s="43" t="s">
        <v>121</v>
      </c>
      <c r="B56" s="371" t="s">
        <v>158</v>
      </c>
      <c r="C56" s="372"/>
      <c r="D56" s="50"/>
      <c r="E56" s="64">
        <f>DADOS_BASICOS!$E$31-(CURITIBA!E$23*DADOS_BASICOS!$F$31)</f>
        <v>158.16000000000003</v>
      </c>
      <c r="F56" s="64">
        <f>DADOS_BASICOS!$E$31-(CURITIBA!F$23*DADOS_BASICOS!$F$31)</f>
        <v>158.16000000000003</v>
      </c>
      <c r="G56" s="64">
        <f>DADOS_BASICOS!$E$31-(CURITIBA!G$23*DADOS_BASICOS!$F$31)</f>
        <v>154.74</v>
      </c>
      <c r="H56" s="64">
        <f>DADOS_BASICOS!$E$31-(CURITIBA!H$23*DADOS_BASICOS!$F$31)</f>
        <v>130.08000000000001</v>
      </c>
    </row>
    <row r="57" spans="1:8" ht="30.9" customHeight="1">
      <c r="A57" s="15" t="s">
        <v>122</v>
      </c>
      <c r="B57" s="371" t="s">
        <v>159</v>
      </c>
      <c r="C57" s="372"/>
      <c r="D57" s="48"/>
      <c r="E57" s="32">
        <f>DADOS_BASICOS!C22-DADOS_BASICOS!C23</f>
        <v>644</v>
      </c>
      <c r="F57" s="32">
        <f>DADOS_BASICOS!C22-DADOS_BASICOS!C23</f>
        <v>644</v>
      </c>
      <c r="G57" s="32">
        <f>DADOS_BASICOS!D22-DADOS_BASICOS!D23</f>
        <v>644</v>
      </c>
      <c r="H57" s="32">
        <f>DADOS_BASICOS!E22-DADOS_BASICOS!E23</f>
        <v>644</v>
      </c>
    </row>
    <row r="58" spans="1:8">
      <c r="A58" s="15" t="s">
        <v>124</v>
      </c>
      <c r="B58" s="371" t="s">
        <v>94</v>
      </c>
      <c r="C58" s="372"/>
      <c r="D58" s="48"/>
      <c r="E58" s="32">
        <f>DADOS_BASICOS!C26</f>
        <v>28</v>
      </c>
      <c r="F58" s="32">
        <f>DADOS_BASICOS!C26</f>
        <v>28</v>
      </c>
      <c r="G58" s="32">
        <f>DADOS_BASICOS!D26</f>
        <v>28</v>
      </c>
      <c r="H58" s="32">
        <f>DADOS_BASICOS!E26</f>
        <v>28</v>
      </c>
    </row>
    <row r="59" spans="1:8">
      <c r="A59" s="15" t="s">
        <v>126</v>
      </c>
      <c r="B59" s="371" t="s">
        <v>92</v>
      </c>
      <c r="C59" s="372"/>
      <c r="D59" s="48"/>
      <c r="E59" s="32">
        <f>DADOS_BASICOS!C25</f>
        <v>87.5</v>
      </c>
      <c r="F59" s="32">
        <f>DADOS_BASICOS!C25</f>
        <v>87.5</v>
      </c>
      <c r="G59" s="32">
        <f>DADOS_BASICOS!D25</f>
        <v>87.5</v>
      </c>
      <c r="H59" s="32">
        <f>DADOS_BASICOS!E25</f>
        <v>87.5</v>
      </c>
    </row>
    <row r="60" spans="1:8">
      <c r="A60" s="15" t="s">
        <v>128</v>
      </c>
      <c r="B60" s="371" t="s">
        <v>160</v>
      </c>
      <c r="C60" s="372"/>
      <c r="D60" s="39"/>
      <c r="E60" s="32">
        <v>0</v>
      </c>
      <c r="F60" s="32">
        <v>0</v>
      </c>
      <c r="G60" s="32">
        <v>0</v>
      </c>
      <c r="H60" s="32">
        <v>0</v>
      </c>
    </row>
    <row r="61" spans="1:8">
      <c r="A61" s="15" t="s">
        <v>130</v>
      </c>
      <c r="B61" s="371" t="s">
        <v>161</v>
      </c>
      <c r="C61" s="372"/>
      <c r="D61" s="42"/>
      <c r="E61" s="33">
        <v>0</v>
      </c>
      <c r="F61" s="33">
        <v>0</v>
      </c>
      <c r="G61" s="33">
        <v>0</v>
      </c>
      <c r="H61" s="33">
        <v>0</v>
      </c>
    </row>
    <row r="62" spans="1:8">
      <c r="A62" s="379" t="s">
        <v>136</v>
      </c>
      <c r="B62" s="379"/>
      <c r="C62" s="379"/>
      <c r="D62" s="37"/>
      <c r="E62" s="79">
        <f>SUM(E56:E61)</f>
        <v>917.66000000000008</v>
      </c>
      <c r="F62" s="79">
        <f>SUM(F56:F61)</f>
        <v>917.66000000000008</v>
      </c>
      <c r="G62" s="79">
        <f>SUM(G56:G61)</f>
        <v>914.24</v>
      </c>
      <c r="H62" s="79">
        <f>SUM(H56:H61)</f>
        <v>889.58</v>
      </c>
    </row>
    <row r="63" spans="1:8">
      <c r="A63" s="4"/>
      <c r="B63" s="4"/>
      <c r="C63" s="4"/>
      <c r="D63" s="4"/>
      <c r="E63" s="4"/>
      <c r="F63" s="4"/>
    </row>
    <row r="64" spans="1:8" ht="28.5" customHeight="1">
      <c r="A64" s="343" t="s">
        <v>162</v>
      </c>
      <c r="B64" s="343"/>
      <c r="C64" s="343"/>
      <c r="D64" s="343"/>
      <c r="E64" s="343"/>
      <c r="F64" s="343"/>
      <c r="G64" s="343"/>
      <c r="H64" s="343"/>
    </row>
    <row r="65" spans="1:8" ht="15" customHeight="1">
      <c r="A65" s="4"/>
      <c r="B65" s="4"/>
      <c r="C65" s="4"/>
      <c r="D65" s="4"/>
      <c r="E65" s="4"/>
      <c r="F65" s="4"/>
    </row>
    <row r="66" spans="1:8">
      <c r="A66" s="41">
        <v>2</v>
      </c>
      <c r="B66" s="380" t="s">
        <v>163</v>
      </c>
      <c r="C66" s="380"/>
      <c r="D66" s="83"/>
      <c r="E66" s="41" t="s">
        <v>120</v>
      </c>
      <c r="F66" s="41" t="s">
        <v>120</v>
      </c>
      <c r="G66" s="41" t="s">
        <v>120</v>
      </c>
      <c r="H66" s="41" t="s">
        <v>120</v>
      </c>
    </row>
    <row r="67" spans="1:8">
      <c r="A67" s="43" t="s">
        <v>138</v>
      </c>
      <c r="B67" s="383" t="s">
        <v>139</v>
      </c>
      <c r="C67" s="383"/>
      <c r="D67" s="35"/>
      <c r="E67" s="84">
        <f>E39</f>
        <v>468.57719999999995</v>
      </c>
      <c r="F67" s="84">
        <f>F39</f>
        <v>385.37266666666665</v>
      </c>
      <c r="G67" s="84">
        <f t="shared" ref="G67:H67" si="1">G39</f>
        <v>483.7183</v>
      </c>
      <c r="H67" s="84">
        <f t="shared" si="1"/>
        <v>592.89359999999999</v>
      </c>
    </row>
    <row r="68" spans="1:8">
      <c r="A68" s="43" t="s">
        <v>145</v>
      </c>
      <c r="B68" s="383" t="s">
        <v>146</v>
      </c>
      <c r="C68" s="383"/>
      <c r="D68" s="35"/>
      <c r="E68" s="85">
        <f>E52</f>
        <v>1016.3340095999997</v>
      </c>
      <c r="F68" s="85">
        <f>F52</f>
        <v>835.86514133333321</v>
      </c>
      <c r="G68" s="85">
        <f t="shared" ref="G68:H68" si="2">G52</f>
        <v>1049.1747344000003</v>
      </c>
      <c r="H68" s="85">
        <f t="shared" si="2"/>
        <v>1285.9736447999999</v>
      </c>
    </row>
    <row r="69" spans="1:8">
      <c r="A69" s="43" t="s">
        <v>156</v>
      </c>
      <c r="B69" s="383" t="s">
        <v>157</v>
      </c>
      <c r="C69" s="383"/>
      <c r="D69" s="35"/>
      <c r="E69" s="85">
        <f>E62</f>
        <v>917.66000000000008</v>
      </c>
      <c r="F69" s="85">
        <f>F62</f>
        <v>917.66000000000008</v>
      </c>
      <c r="G69" s="85">
        <f t="shared" ref="G69:H69" si="3">G62</f>
        <v>914.24</v>
      </c>
      <c r="H69" s="85">
        <f t="shared" si="3"/>
        <v>889.58</v>
      </c>
    </row>
    <row r="70" spans="1:8" ht="15.75" customHeight="1">
      <c r="A70" s="379" t="s">
        <v>136</v>
      </c>
      <c r="B70" s="379"/>
      <c r="C70" s="379"/>
      <c r="D70" s="35"/>
      <c r="E70" s="86">
        <f>SUM(E67:E69)</f>
        <v>2402.5712095999997</v>
      </c>
      <c r="F70" s="86">
        <f>SUM(F67:F69)</f>
        <v>2138.8978079999997</v>
      </c>
      <c r="G70" s="86">
        <f t="shared" ref="G70:H70" si="4">SUM(G67:G69)</f>
        <v>2447.1330344000003</v>
      </c>
      <c r="H70" s="86">
        <f t="shared" si="4"/>
        <v>2768.4472447999997</v>
      </c>
    </row>
    <row r="71" spans="1:8" ht="22.5" customHeight="1">
      <c r="A71" s="4"/>
      <c r="B71" s="4"/>
      <c r="C71" s="4"/>
      <c r="D71" s="4"/>
      <c r="E71" s="4"/>
      <c r="F71" s="4"/>
      <c r="H71" s="62"/>
    </row>
    <row r="72" spans="1:8" ht="18" customHeight="1">
      <c r="A72" s="4"/>
      <c r="B72" s="4"/>
      <c r="C72" s="4"/>
      <c r="D72" s="4"/>
      <c r="E72" s="4"/>
      <c r="F72" s="4"/>
      <c r="G72" s="7"/>
      <c r="H72" s="63"/>
    </row>
    <row r="73" spans="1:8" ht="18.75" customHeight="1">
      <c r="A73" s="351" t="s">
        <v>45</v>
      </c>
      <c r="B73" s="351"/>
      <c r="C73" s="351"/>
      <c r="D73" s="351"/>
      <c r="E73" s="351"/>
      <c r="F73" s="351"/>
      <c r="G73" s="351"/>
      <c r="H73" s="351"/>
    </row>
    <row r="74" spans="1:8">
      <c r="A74" s="381" t="s">
        <v>164</v>
      </c>
      <c r="B74" s="381"/>
      <c r="C74" s="381"/>
      <c r="D74" s="16"/>
      <c r="E74" s="16">
        <f>E31+E70-SUM(E44:E50)</f>
        <v>3900.3793759999999</v>
      </c>
      <c r="F74" s="16">
        <f>F31+F70-SUM(F44:F50)</f>
        <v>3370.7424799999999</v>
      </c>
      <c r="G74" s="16">
        <f t="shared" ref="G74:H74" si="5">G31+G70-SUM(G44:G50)</f>
        <v>3993.3397640000007</v>
      </c>
      <c r="H74" s="16">
        <f t="shared" si="5"/>
        <v>4663.6330880000005</v>
      </c>
    </row>
    <row r="75" spans="1:8">
      <c r="A75" s="375" t="s">
        <v>165</v>
      </c>
      <c r="B75" s="375"/>
      <c r="C75" s="375"/>
      <c r="D75" s="16"/>
      <c r="E75" s="16">
        <f>E31+E70</f>
        <v>4695.7712095999996</v>
      </c>
      <c r="F75" s="16">
        <f>F31+F70</f>
        <v>4024.8978079999997</v>
      </c>
      <c r="G75" s="16">
        <f t="shared" ref="G75:H75" si="6">G31+G70</f>
        <v>4814.4330344000009</v>
      </c>
      <c r="H75" s="16">
        <f t="shared" si="6"/>
        <v>5670.0472448</v>
      </c>
    </row>
    <row r="76" spans="1:8">
      <c r="A76" s="41">
        <v>3</v>
      </c>
      <c r="B76" s="41" t="s">
        <v>166</v>
      </c>
      <c r="C76" s="41" t="s">
        <v>167</v>
      </c>
      <c r="D76" s="41"/>
      <c r="E76" s="41" t="s">
        <v>120</v>
      </c>
      <c r="F76" s="41" t="s">
        <v>120</v>
      </c>
      <c r="G76" s="41" t="s">
        <v>120</v>
      </c>
      <c r="H76" s="41" t="s">
        <v>120</v>
      </c>
    </row>
    <row r="77" spans="1:8">
      <c r="A77" s="43" t="s">
        <v>121</v>
      </c>
      <c r="B77" s="58" t="s">
        <v>168</v>
      </c>
      <c r="C77" s="80">
        <f>(1/12)*5%</f>
        <v>4.1666666666666666E-3</v>
      </c>
      <c r="D77" s="80"/>
      <c r="E77" s="33">
        <f>E74*$C$77</f>
        <v>16.251580733333334</v>
      </c>
      <c r="F77" s="33">
        <f>F74*$C$77</f>
        <v>14.044760333333333</v>
      </c>
      <c r="G77" s="33">
        <f>G74*$C$77</f>
        <v>16.638915683333337</v>
      </c>
      <c r="H77" s="33">
        <f>H74*$C$77</f>
        <v>19.431804533333334</v>
      </c>
    </row>
    <row r="78" spans="1:8">
      <c r="A78" s="43" t="s">
        <v>122</v>
      </c>
      <c r="B78" s="17" t="s">
        <v>169</v>
      </c>
      <c r="C78" s="34">
        <v>0.08</v>
      </c>
      <c r="D78" s="34"/>
      <c r="E78" s="9">
        <f>E77*$C$78</f>
        <v>1.3001264586666668</v>
      </c>
      <c r="F78" s="9">
        <f>F77*$C$78</f>
        <v>1.1235808266666667</v>
      </c>
      <c r="G78" s="9">
        <f t="shared" ref="G78:H78" si="7">G77*$C$78</f>
        <v>1.3311132546666671</v>
      </c>
      <c r="H78" s="9">
        <f t="shared" si="7"/>
        <v>1.5545443626666668</v>
      </c>
    </row>
    <row r="79" spans="1:8">
      <c r="A79" s="43" t="s">
        <v>124</v>
      </c>
      <c r="B79" s="17" t="s">
        <v>170</v>
      </c>
      <c r="C79" s="18">
        <v>0.02</v>
      </c>
      <c r="D79" s="18"/>
      <c r="E79" s="9">
        <f>$C$79*E77</f>
        <v>0.32503161466666669</v>
      </c>
      <c r="F79" s="9">
        <f>$C$79*F77</f>
        <v>0.28089520666666667</v>
      </c>
      <c r="G79" s="9">
        <f t="shared" ref="G79:H79" si="8">$C$79*G77</f>
        <v>0.33277831366666677</v>
      </c>
      <c r="H79" s="9">
        <f t="shared" si="8"/>
        <v>0.38863609066666671</v>
      </c>
    </row>
    <row r="80" spans="1:8">
      <c r="A80" s="43" t="s">
        <v>126</v>
      </c>
      <c r="B80" s="17" t="s">
        <v>171</v>
      </c>
      <c r="C80" s="80">
        <f>7/30/12</f>
        <v>1.9444444444444445E-2</v>
      </c>
      <c r="D80" s="80"/>
      <c r="E80" s="9">
        <f>E75*$C$80</f>
        <v>91.306662408888883</v>
      </c>
      <c r="F80" s="9">
        <f>F75*$C$80</f>
        <v>78.261901822222214</v>
      </c>
      <c r="G80" s="9">
        <f>G75*$C$80</f>
        <v>93.613975668888912</v>
      </c>
      <c r="H80" s="9">
        <f>H75*$C$80</f>
        <v>110.2509186488889</v>
      </c>
    </row>
    <row r="81" spans="1:8">
      <c r="A81" s="43" t="s">
        <v>128</v>
      </c>
      <c r="B81" s="17" t="s">
        <v>172</v>
      </c>
      <c r="C81" s="34">
        <f>$C$52</f>
        <v>0.36800000000000005</v>
      </c>
      <c r="D81" s="34"/>
      <c r="E81" s="9">
        <f>E80*$C$81</f>
        <v>33.600851766471116</v>
      </c>
      <c r="F81" s="9">
        <f>F80*$C$81</f>
        <v>28.800379870577778</v>
      </c>
      <c r="G81" s="9">
        <f>G80*$C$81</f>
        <v>34.449943046151127</v>
      </c>
      <c r="H81" s="9">
        <f>H80*$C$81</f>
        <v>40.572338062791118</v>
      </c>
    </row>
    <row r="82" spans="1:8">
      <c r="A82" s="43" t="s">
        <v>130</v>
      </c>
      <c r="B82" s="17" t="s">
        <v>173</v>
      </c>
      <c r="C82" s="18">
        <v>0.02</v>
      </c>
      <c r="D82" s="18"/>
      <c r="E82" s="9">
        <f>E80*$C$82</f>
        <v>1.8261332481777777</v>
      </c>
      <c r="F82" s="9">
        <f>F80*$C$82</f>
        <v>1.5652380364444443</v>
      </c>
      <c r="G82" s="9">
        <f>G80*$C$82</f>
        <v>1.8722795133777783</v>
      </c>
      <c r="H82" s="9">
        <f>H80*$C$82</f>
        <v>2.2050183729777779</v>
      </c>
    </row>
    <row r="83" spans="1:8">
      <c r="A83" s="379" t="s">
        <v>136</v>
      </c>
      <c r="B83" s="379"/>
      <c r="C83" s="18"/>
      <c r="D83" s="18"/>
      <c r="E83" s="29">
        <f>SUM(E77:E82)</f>
        <v>144.61038623020443</v>
      </c>
      <c r="F83" s="29">
        <f>SUM(F77:F82)</f>
        <v>124.07675609591109</v>
      </c>
      <c r="G83" s="29">
        <f>SUM(G77:G82)</f>
        <v>148.2390054800845</v>
      </c>
      <c r="H83" s="29">
        <f>SUM(H77:H82)</f>
        <v>174.40326007132447</v>
      </c>
    </row>
    <row r="84" spans="1:8">
      <c r="A84" s="4"/>
      <c r="B84" s="4"/>
      <c r="C84" s="4"/>
      <c r="D84" s="4"/>
      <c r="E84" s="4"/>
      <c r="F84" s="4"/>
      <c r="H84" s="12"/>
    </row>
    <row r="85" spans="1:8">
      <c r="A85" s="351" t="s">
        <v>46</v>
      </c>
      <c r="B85" s="351"/>
      <c r="C85" s="351"/>
      <c r="D85" s="351"/>
      <c r="E85" s="351"/>
      <c r="F85" s="351"/>
      <c r="G85" s="351"/>
      <c r="H85" s="351"/>
    </row>
    <row r="86" spans="1:8">
      <c r="A86" s="343" t="s">
        <v>47</v>
      </c>
      <c r="B86" s="343"/>
      <c r="C86" s="343"/>
      <c r="D86" s="343"/>
      <c r="E86" s="343"/>
      <c r="F86" s="343"/>
      <c r="G86" s="343"/>
      <c r="H86" s="343"/>
    </row>
    <row r="87" spans="1:8">
      <c r="A87" s="3"/>
      <c r="B87" s="3"/>
      <c r="C87" s="3"/>
      <c r="D87" s="3"/>
      <c r="E87" s="3"/>
      <c r="F87" s="3"/>
    </row>
    <row r="88" spans="1:8">
      <c r="A88" s="375" t="s">
        <v>174</v>
      </c>
      <c r="B88" s="375"/>
      <c r="C88" s="375"/>
      <c r="D88" s="10"/>
      <c r="E88" s="10">
        <f>E31+E70+E83</f>
        <v>4840.3815958302039</v>
      </c>
      <c r="F88" s="10">
        <f t="shared" ref="F88:H88" si="9">F31+F70+F83</f>
        <v>4148.9745640959109</v>
      </c>
      <c r="G88" s="10">
        <f t="shared" si="9"/>
        <v>4962.6720398800853</v>
      </c>
      <c r="H88" s="10">
        <f t="shared" si="9"/>
        <v>5844.4505048713245</v>
      </c>
    </row>
    <row r="89" spans="1:8" ht="12.75" customHeight="1">
      <c r="A89" s="41" t="s">
        <v>175</v>
      </c>
      <c r="B89" s="41" t="s">
        <v>176</v>
      </c>
      <c r="C89" s="41" t="s">
        <v>177</v>
      </c>
      <c r="D89" s="41"/>
      <c r="E89" s="41" t="s">
        <v>120</v>
      </c>
      <c r="F89" s="41" t="s">
        <v>120</v>
      </c>
      <c r="G89" s="41" t="s">
        <v>120</v>
      </c>
      <c r="H89" s="41" t="s">
        <v>120</v>
      </c>
    </row>
    <row r="90" spans="1:8" ht="31.5" customHeight="1">
      <c r="A90" s="25" t="s">
        <v>121</v>
      </c>
      <c r="B90" s="59" t="s">
        <v>178</v>
      </c>
      <c r="C90" s="81">
        <f>(1+1/3)/12/12</f>
        <v>9.2592592592592587E-3</v>
      </c>
      <c r="D90" s="81"/>
      <c r="E90" s="60">
        <f>E88*$C$90</f>
        <v>44.818348109538924</v>
      </c>
      <c r="F90" s="60">
        <f t="shared" ref="F90:H90" si="10">F88*$C$90</f>
        <v>38.416431149036207</v>
      </c>
      <c r="G90" s="60">
        <f t="shared" si="10"/>
        <v>45.950667035926713</v>
      </c>
      <c r="H90" s="60">
        <f t="shared" si="10"/>
        <v>54.115282452512261</v>
      </c>
    </row>
    <row r="91" spans="1:8">
      <c r="A91" s="25" t="s">
        <v>122</v>
      </c>
      <c r="B91" s="59" t="s">
        <v>179</v>
      </c>
      <c r="C91" s="82">
        <f>((2/30/12))</f>
        <v>5.5555555555555558E-3</v>
      </c>
      <c r="D91" s="82"/>
      <c r="E91" s="60">
        <f>E88*$C$91</f>
        <v>26.891008865723357</v>
      </c>
      <c r="F91" s="60">
        <f t="shared" ref="F91:H91" si="11">F88*$C$91</f>
        <v>23.049858689421729</v>
      </c>
      <c r="G91" s="60">
        <f t="shared" si="11"/>
        <v>27.570400221556032</v>
      </c>
      <c r="H91" s="60">
        <f t="shared" si="11"/>
        <v>32.469169471507357</v>
      </c>
    </row>
    <row r="92" spans="1:8">
      <c r="A92" s="25" t="s">
        <v>124</v>
      </c>
      <c r="B92" s="59" t="s">
        <v>180</v>
      </c>
      <c r="C92" s="47">
        <f>((15/30/12)*0.0078)</f>
        <v>3.2499999999999999E-4</v>
      </c>
      <c r="D92" s="47"/>
      <c r="E92" s="60">
        <f>E88*$C$92</f>
        <v>1.5731240186448161</v>
      </c>
      <c r="F92" s="60">
        <f t="shared" ref="F92:H92" si="12">F88*$C$92</f>
        <v>1.348416733331171</v>
      </c>
      <c r="G92" s="60">
        <f t="shared" si="12"/>
        <v>1.6128684129610276</v>
      </c>
      <c r="H92" s="60">
        <f t="shared" si="12"/>
        <v>1.8994464140831804</v>
      </c>
    </row>
    <row r="93" spans="1:8" ht="14.4" customHeight="1">
      <c r="A93" s="25" t="s">
        <v>126</v>
      </c>
      <c r="B93" s="59" t="s">
        <v>181</v>
      </c>
      <c r="C93" s="82">
        <f>(5/30/12)*0.02</f>
        <v>2.7777777777777778E-4</v>
      </c>
      <c r="D93" s="82"/>
      <c r="E93" s="60">
        <f>E88*$C$93</f>
        <v>1.3445504432861677</v>
      </c>
      <c r="F93" s="60">
        <f t="shared" ref="F93:H93" si="13">F88*$C$93</f>
        <v>1.1524929344710864</v>
      </c>
      <c r="G93" s="60">
        <f t="shared" si="13"/>
        <v>1.3785200110778015</v>
      </c>
      <c r="H93" s="60">
        <f t="shared" si="13"/>
        <v>1.6234584735753679</v>
      </c>
    </row>
    <row r="94" spans="1:8">
      <c r="A94" s="25" t="s">
        <v>128</v>
      </c>
      <c r="B94" s="59" t="s">
        <v>182</v>
      </c>
      <c r="C94" s="82">
        <f>(4/12)/12*0.02</f>
        <v>5.5555555555555556E-4</v>
      </c>
      <c r="D94" s="82"/>
      <c r="E94" s="60">
        <f>E88*$C$94</f>
        <v>2.6891008865723354</v>
      </c>
      <c r="F94" s="60">
        <f t="shared" ref="F94:H94" si="14">F88*$C$94</f>
        <v>2.3049858689421727</v>
      </c>
      <c r="G94" s="60">
        <f t="shared" si="14"/>
        <v>2.7570400221556031</v>
      </c>
      <c r="H94" s="60">
        <f t="shared" si="14"/>
        <v>3.2469169471507358</v>
      </c>
    </row>
    <row r="95" spans="1:8">
      <c r="A95" s="25" t="s">
        <v>130</v>
      </c>
      <c r="B95" s="59" t="s">
        <v>183</v>
      </c>
      <c r="C95" s="47">
        <f>(5/30)/12</f>
        <v>1.3888888888888888E-2</v>
      </c>
      <c r="D95" s="47"/>
      <c r="E95" s="60">
        <f>E88*$C$95</f>
        <v>67.227522164308382</v>
      </c>
      <c r="F95" s="60">
        <f t="shared" ref="F95:H95" si="15">F88*$C$95</f>
        <v>57.624646723554314</v>
      </c>
      <c r="G95" s="60">
        <f t="shared" si="15"/>
        <v>68.926000553890077</v>
      </c>
      <c r="H95" s="60">
        <f t="shared" si="15"/>
        <v>81.172923678768385</v>
      </c>
    </row>
    <row r="96" spans="1:8">
      <c r="A96" s="25" t="s">
        <v>132</v>
      </c>
      <c r="B96" s="59" t="s">
        <v>184</v>
      </c>
      <c r="C96" s="47">
        <v>0</v>
      </c>
      <c r="D96" s="47"/>
      <c r="E96" s="60">
        <f>E88*$C$96</f>
        <v>0</v>
      </c>
      <c r="F96" s="60">
        <f t="shared" ref="F96:H96" si="16">F88*$C$96</f>
        <v>0</v>
      </c>
      <c r="G96" s="60">
        <f t="shared" si="16"/>
        <v>0</v>
      </c>
      <c r="H96" s="60">
        <f t="shared" si="16"/>
        <v>0</v>
      </c>
    </row>
    <row r="97" spans="1:8">
      <c r="A97" s="376" t="s">
        <v>185</v>
      </c>
      <c r="B97" s="377"/>
      <c r="C97" s="378"/>
      <c r="D97" s="71"/>
      <c r="E97" s="29">
        <f>SUM(E90:E96)</f>
        <v>144.54365448807397</v>
      </c>
      <c r="F97" s="29">
        <f>SUM(F90:F96)</f>
        <v>123.89683209875668</v>
      </c>
      <c r="G97" s="29">
        <f t="shared" ref="G97:H97" si="17">SUM(G90:G96)</f>
        <v>148.19549625756724</v>
      </c>
      <c r="H97" s="29">
        <f t="shared" si="17"/>
        <v>174.52719743759729</v>
      </c>
    </row>
    <row r="98" spans="1:8">
      <c r="A98" s="31"/>
      <c r="B98" s="31"/>
      <c r="C98" s="31"/>
      <c r="D98" s="31"/>
      <c r="E98" s="31"/>
      <c r="F98" s="31"/>
    </row>
    <row r="99" spans="1:8" ht="15.75" customHeight="1">
      <c r="A99" s="370" t="s">
        <v>48</v>
      </c>
      <c r="B99" s="370"/>
      <c r="C99" s="370"/>
      <c r="D99" s="370"/>
      <c r="E99" s="370"/>
      <c r="F99" s="370"/>
      <c r="G99" s="370"/>
      <c r="H99" s="370"/>
    </row>
    <row r="100" spans="1:8">
      <c r="A100" s="399" t="s">
        <v>186</v>
      </c>
      <c r="B100" s="399"/>
      <c r="C100" s="399"/>
      <c r="D100" s="49"/>
      <c r="E100" s="98">
        <f>E31+E70+E83</f>
        <v>4840.3815958302039</v>
      </c>
      <c r="F100" s="98">
        <f>F31+F70+F83</f>
        <v>4148.9745640959109</v>
      </c>
      <c r="G100" s="98">
        <f>G31+G70+G83</f>
        <v>4962.6720398800853</v>
      </c>
      <c r="H100" s="98">
        <f>H31+H70+H83</f>
        <v>5844.4505048713245</v>
      </c>
    </row>
    <row r="101" spans="1:8" ht="68.25" customHeight="1">
      <c r="A101" s="20" t="s">
        <v>187</v>
      </c>
      <c r="B101" s="387" t="s">
        <v>188</v>
      </c>
      <c r="C101" s="387"/>
      <c r="D101" s="87"/>
      <c r="E101" s="73" t="s">
        <v>120</v>
      </c>
      <c r="F101" s="73" t="s">
        <v>120</v>
      </c>
      <c r="G101" s="73" t="s">
        <v>120</v>
      </c>
      <c r="H101" s="73" t="s">
        <v>120</v>
      </c>
    </row>
    <row r="102" spans="1:8">
      <c r="A102" s="21" t="s">
        <v>121</v>
      </c>
      <c r="B102" s="398" t="s">
        <v>189</v>
      </c>
      <c r="C102" s="398"/>
      <c r="D102" s="35"/>
      <c r="E102" s="85"/>
      <c r="F102" s="85"/>
      <c r="G102" s="85"/>
      <c r="H102" s="85"/>
    </row>
    <row r="103" spans="1:8" ht="15.75" customHeight="1">
      <c r="A103" s="384" t="s">
        <v>136</v>
      </c>
      <c r="B103" s="384"/>
      <c r="C103" s="384"/>
      <c r="D103" s="35"/>
      <c r="E103" s="86">
        <f>E102</f>
        <v>0</v>
      </c>
      <c r="F103" s="86">
        <f>F102</f>
        <v>0</v>
      </c>
      <c r="G103" s="86">
        <f>G102</f>
        <v>0</v>
      </c>
      <c r="H103" s="86">
        <f>H102</f>
        <v>0</v>
      </c>
    </row>
    <row r="104" spans="1:8" ht="30" customHeight="1">
      <c r="A104" s="26"/>
      <c r="B104" s="4"/>
      <c r="C104" s="4"/>
      <c r="D104" s="4"/>
      <c r="E104" s="4"/>
      <c r="F104" s="4"/>
      <c r="G104" s="19"/>
      <c r="H104" s="19"/>
    </row>
    <row r="105" spans="1:8">
      <c r="A105" s="397" t="s">
        <v>190</v>
      </c>
      <c r="B105" s="397"/>
      <c r="C105" s="397"/>
      <c r="D105" s="397"/>
      <c r="E105" s="397"/>
      <c r="F105" s="397"/>
      <c r="G105" s="397"/>
      <c r="H105" s="397"/>
    </row>
    <row r="106" spans="1:8">
      <c r="A106" s="41">
        <v>4</v>
      </c>
      <c r="B106" s="387" t="s">
        <v>191</v>
      </c>
      <c r="C106" s="387"/>
      <c r="D106" s="87"/>
      <c r="E106" s="41" t="s">
        <v>120</v>
      </c>
      <c r="F106" s="41" t="s">
        <v>120</v>
      </c>
      <c r="G106" s="41" t="s">
        <v>120</v>
      </c>
      <c r="H106" s="41" t="s">
        <v>120</v>
      </c>
    </row>
    <row r="107" spans="1:8">
      <c r="A107" s="43" t="s">
        <v>175</v>
      </c>
      <c r="B107" s="386" t="s">
        <v>192</v>
      </c>
      <c r="C107" s="386"/>
      <c r="D107" s="35"/>
      <c r="E107" s="85">
        <f>E97</f>
        <v>144.54365448807397</v>
      </c>
      <c r="F107" s="85">
        <f t="shared" ref="F107:H107" si="18">F97</f>
        <v>123.89683209875668</v>
      </c>
      <c r="G107" s="85">
        <f t="shared" si="18"/>
        <v>148.19549625756724</v>
      </c>
      <c r="H107" s="85">
        <f t="shared" si="18"/>
        <v>174.52719743759729</v>
      </c>
    </row>
    <row r="108" spans="1:8">
      <c r="A108" s="43" t="s">
        <v>187</v>
      </c>
      <c r="B108" s="386" t="s">
        <v>193</v>
      </c>
      <c r="C108" s="386"/>
      <c r="D108" s="35"/>
      <c r="E108" s="85">
        <f>E103</f>
        <v>0</v>
      </c>
      <c r="F108" s="85">
        <f t="shared" ref="F108:H108" si="19">F103</f>
        <v>0</v>
      </c>
      <c r="G108" s="85">
        <f t="shared" si="19"/>
        <v>0</v>
      </c>
      <c r="H108" s="85">
        <f t="shared" si="19"/>
        <v>0</v>
      </c>
    </row>
    <row r="109" spans="1:8">
      <c r="A109" s="384" t="s">
        <v>136</v>
      </c>
      <c r="B109" s="384"/>
      <c r="C109" s="384"/>
      <c r="D109" s="35"/>
      <c r="E109" s="86">
        <f>SUM(E107:E108)</f>
        <v>144.54365448807397</v>
      </c>
      <c r="F109" s="86">
        <f t="shared" ref="F109:H109" si="20">SUM(F107:F108)</f>
        <v>123.89683209875668</v>
      </c>
      <c r="G109" s="86">
        <f t="shared" si="20"/>
        <v>148.19549625756724</v>
      </c>
      <c r="H109" s="86">
        <f t="shared" si="20"/>
        <v>174.52719743759729</v>
      </c>
    </row>
    <row r="110" spans="1:8">
      <c r="A110" s="4"/>
      <c r="B110" s="4"/>
      <c r="C110" s="4"/>
      <c r="D110" s="4"/>
      <c r="E110" s="4"/>
      <c r="F110" s="4"/>
    </row>
    <row r="111" spans="1:8">
      <c r="A111" s="4"/>
      <c r="B111" s="4"/>
      <c r="C111" s="4"/>
      <c r="D111" s="4"/>
      <c r="E111" s="4"/>
      <c r="F111" s="4"/>
      <c r="H111" s="26"/>
    </row>
    <row r="112" spans="1:8">
      <c r="A112" s="351" t="s">
        <v>50</v>
      </c>
      <c r="B112" s="351"/>
      <c r="C112" s="351"/>
      <c r="D112" s="351"/>
      <c r="E112" s="351"/>
      <c r="F112" s="351"/>
      <c r="G112" s="351"/>
      <c r="H112" s="351"/>
    </row>
    <row r="113" spans="1:8">
      <c r="A113" s="41">
        <v>5</v>
      </c>
      <c r="B113" s="387" t="s">
        <v>194</v>
      </c>
      <c r="C113" s="387"/>
      <c r="D113" s="87"/>
      <c r="E113" s="41" t="s">
        <v>120</v>
      </c>
      <c r="F113" s="41" t="s">
        <v>120</v>
      </c>
      <c r="G113" s="41" t="s">
        <v>120</v>
      </c>
      <c r="H113" s="41" t="s">
        <v>120</v>
      </c>
    </row>
    <row r="114" spans="1:8">
      <c r="A114" s="15" t="s">
        <v>121</v>
      </c>
      <c r="B114" s="386" t="s">
        <v>195</v>
      </c>
      <c r="C114" s="386"/>
      <c r="D114" s="228"/>
      <c r="E114" s="229">
        <f>UNIFORMES!$F$18</f>
        <v>71.998888888888885</v>
      </c>
      <c r="F114" s="229">
        <f>UNIFORMES!F47</f>
        <v>80.668888888888887</v>
      </c>
      <c r="G114" s="229">
        <f>UNIFORMES!F32</f>
        <v>77.952222222222218</v>
      </c>
      <c r="H114" s="229">
        <f>UNIFORMES!$F$18</f>
        <v>71.998888888888885</v>
      </c>
    </row>
    <row r="115" spans="1:8">
      <c r="A115" s="15" t="s">
        <v>122</v>
      </c>
      <c r="B115" s="386" t="s">
        <v>41</v>
      </c>
      <c r="C115" s="386"/>
      <c r="D115" s="228"/>
      <c r="E115" s="229">
        <f>EQUIPAMENTOS!$P$24</f>
        <v>26.534767322916668</v>
      </c>
      <c r="F115" s="229">
        <f>EQUIPAMENTOS!Q24</f>
        <v>31.464799166666669</v>
      </c>
      <c r="G115" s="229">
        <f>EQUIPAMENTOS!$P$24</f>
        <v>26.534767322916668</v>
      </c>
      <c r="H115" s="229">
        <f>EQUIPAMENTOS!$P$24</f>
        <v>26.534767322916668</v>
      </c>
    </row>
    <row r="116" spans="1:8">
      <c r="A116" s="15" t="s">
        <v>124</v>
      </c>
      <c r="B116" s="386" t="s">
        <v>196</v>
      </c>
      <c r="C116" s="386"/>
      <c r="D116" s="228"/>
      <c r="E116" s="229">
        <f>UTENSÍLIOS!$O$76</f>
        <v>108.17716666666672</v>
      </c>
      <c r="F116" s="229">
        <f>UTENSÍLIOS!P76</f>
        <v>156.10666666666665</v>
      </c>
      <c r="G116" s="229">
        <f>UTENSÍLIOS!$O$76</f>
        <v>108.17716666666672</v>
      </c>
      <c r="H116" s="229">
        <f>UTENSÍLIOS!$O$76</f>
        <v>108.17716666666672</v>
      </c>
    </row>
    <row r="117" spans="1:8">
      <c r="A117" s="15" t="s">
        <v>126</v>
      </c>
      <c r="B117" s="386" t="s">
        <v>197</v>
      </c>
      <c r="C117" s="386"/>
      <c r="D117" s="228"/>
      <c r="E117" s="229">
        <f>INSUMOS!$O$52</f>
        <v>278.97299999999996</v>
      </c>
      <c r="F117" s="229">
        <f>INSUMOS!$P$52</f>
        <v>809.55</v>
      </c>
      <c r="G117" s="229">
        <f>INSUMOS!$O$52</f>
        <v>278.97299999999996</v>
      </c>
      <c r="H117" s="229">
        <f>INSUMOS!$O$52</f>
        <v>278.97299999999996</v>
      </c>
    </row>
    <row r="118" spans="1:8">
      <c r="A118" s="15" t="s">
        <v>128</v>
      </c>
      <c r="B118" s="386" t="s">
        <v>198</v>
      </c>
      <c r="C118" s="386"/>
      <c r="D118" s="228"/>
      <c r="E118" s="229"/>
      <c r="F118" s="229"/>
      <c r="G118" s="229"/>
      <c r="H118" s="229"/>
    </row>
    <row r="119" spans="1:8">
      <c r="A119" s="384" t="s">
        <v>155</v>
      </c>
      <c r="B119" s="384"/>
      <c r="C119" s="384"/>
      <c r="D119" s="35"/>
      <c r="E119" s="86">
        <f>SUM(E114:E118)</f>
        <v>485.68382287847226</v>
      </c>
      <c r="F119" s="86">
        <f>SUM(F114:F118)</f>
        <v>1077.7903547222222</v>
      </c>
      <c r="G119" s="86">
        <f>SUM(G114:G118)</f>
        <v>491.63715621180557</v>
      </c>
      <c r="H119" s="86">
        <f>SUM(H114:H118)</f>
        <v>485.68382287847226</v>
      </c>
    </row>
    <row r="120" spans="1:8">
      <c r="A120" s="4"/>
      <c r="B120" s="4"/>
      <c r="C120" s="4"/>
      <c r="D120" s="4"/>
      <c r="E120" s="4"/>
      <c r="F120" s="4"/>
    </row>
    <row r="121" spans="1:8">
      <c r="A121" s="351" t="s">
        <v>51</v>
      </c>
      <c r="B121" s="351"/>
      <c r="C121" s="351"/>
      <c r="D121" s="351"/>
      <c r="E121" s="351"/>
      <c r="F121" s="351"/>
      <c r="G121" s="351"/>
      <c r="H121" s="351"/>
    </row>
    <row r="122" spans="1:8">
      <c r="A122" s="3"/>
      <c r="B122" s="381" t="s">
        <v>199</v>
      </c>
      <c r="C122" s="381"/>
      <c r="D122" s="72"/>
      <c r="E122" s="10">
        <f>E31+E70+E83+E109+E119</f>
        <v>5470.6090731967506</v>
      </c>
      <c r="F122" s="10">
        <f t="shared" ref="F122:H122" si="21">F31+F70+F83+F109+F119</f>
        <v>5350.66175091689</v>
      </c>
      <c r="G122" s="10">
        <f t="shared" si="21"/>
        <v>5602.5046923494583</v>
      </c>
      <c r="H122" s="10">
        <f t="shared" si="21"/>
        <v>6504.6615251873936</v>
      </c>
    </row>
    <row r="123" spans="1:8">
      <c r="A123" s="3"/>
      <c r="B123" s="381" t="s">
        <v>200</v>
      </c>
      <c r="C123" s="381"/>
      <c r="D123" s="72"/>
      <c r="E123" s="10">
        <f>E122+E126</f>
        <v>5623.7861272462596</v>
      </c>
      <c r="F123" s="10">
        <f t="shared" ref="F123:H123" si="22">F122+F126</f>
        <v>5500.4802799425634</v>
      </c>
      <c r="G123" s="10">
        <f t="shared" si="22"/>
        <v>5759.3748237352429</v>
      </c>
      <c r="H123" s="10">
        <f t="shared" si="22"/>
        <v>6686.7920478926408</v>
      </c>
    </row>
    <row r="124" spans="1:8">
      <c r="A124" s="3"/>
      <c r="B124" s="381" t="s">
        <v>201</v>
      </c>
      <c r="C124" s="381"/>
      <c r="D124" s="72"/>
      <c r="E124" s="10">
        <f>(E123+E127)/(1-E128)</f>
        <v>6575.8469175132186</v>
      </c>
      <c r="F124" s="10">
        <f t="shared" ref="F124:H124" si="23">(F123+F127)/(1-F128)</f>
        <v>6431.6664032552189</v>
      </c>
      <c r="G124" s="10">
        <f t="shared" si="23"/>
        <v>6930.7275575654776</v>
      </c>
      <c r="H124" s="10">
        <f t="shared" si="23"/>
        <v>8046.7646813066085</v>
      </c>
    </row>
    <row r="125" spans="1:8">
      <c r="A125" s="41">
        <v>6</v>
      </c>
      <c r="B125" s="41" t="s">
        <v>202</v>
      </c>
      <c r="C125" s="41" t="s">
        <v>140</v>
      </c>
      <c r="D125" s="41"/>
      <c r="E125" s="41" t="s">
        <v>120</v>
      </c>
      <c r="F125" s="41" t="s">
        <v>120</v>
      </c>
      <c r="G125" s="41" t="s">
        <v>120</v>
      </c>
      <c r="H125" s="41" t="s">
        <v>120</v>
      </c>
    </row>
    <row r="126" spans="1:8">
      <c r="A126" s="43" t="s">
        <v>121</v>
      </c>
      <c r="B126" s="6" t="s">
        <v>203</v>
      </c>
      <c r="C126" s="47" t="s">
        <v>52</v>
      </c>
      <c r="D126" s="47"/>
      <c r="E126" s="22">
        <f>E122*DADOS_BASICOS!B42</f>
        <v>153.17705404950902</v>
      </c>
      <c r="F126" s="22">
        <f>F122*DADOS_BASICOS!C42</f>
        <v>149.81852902567292</v>
      </c>
      <c r="G126" s="22">
        <f>G122*DADOS_BASICOS!E42</f>
        <v>156.87013138578484</v>
      </c>
      <c r="H126" s="22">
        <f>H122*DADOS_BASICOS!F42</f>
        <v>182.13052270524702</v>
      </c>
    </row>
    <row r="127" spans="1:8">
      <c r="A127" s="43" t="s">
        <v>122</v>
      </c>
      <c r="B127" s="6" t="s">
        <v>204</v>
      </c>
      <c r="C127" s="47" t="s">
        <v>52</v>
      </c>
      <c r="D127" s="47"/>
      <c r="E127" s="22">
        <f>E123*DADOS_BASICOS!B52</f>
        <v>179.39877745915567</v>
      </c>
      <c r="F127" s="22">
        <f>F123*DADOS_BASICOS!C52</f>
        <v>175.46532093016776</v>
      </c>
      <c r="G127" s="22">
        <f>G123*DADOS_BASICOS!E52</f>
        <v>183.72405687715423</v>
      </c>
      <c r="H127" s="22">
        <f>H123*DADOS_BASICOS!F52</f>
        <v>213.30866632777523</v>
      </c>
    </row>
    <row r="128" spans="1:8" s="130" customFormat="1">
      <c r="A128" s="37" t="s">
        <v>124</v>
      </c>
      <c r="B128" s="128" t="s">
        <v>205</v>
      </c>
      <c r="C128" s="129"/>
      <c r="D128" s="129"/>
      <c r="E128" s="127">
        <f>SUM(C129:C133)+DADOS_BASICOS!B62</f>
        <v>0.11749999999999999</v>
      </c>
      <c r="F128" s="127">
        <f>SUM(C129:C133)+DADOS_BASICOS!C62</f>
        <v>0.11749999999999999</v>
      </c>
      <c r="G128" s="127">
        <f>SUM(C129:C133)+DADOS_BASICOS!E62</f>
        <v>0.14250000000000002</v>
      </c>
      <c r="H128" s="127">
        <f>SUM(C129:C133)+DADOS_BASICOS!F62</f>
        <v>0.14250000000000002</v>
      </c>
    </row>
    <row r="129" spans="1:8" ht="31.5" customHeight="1">
      <c r="A129" s="43"/>
      <c r="B129" s="5" t="s">
        <v>206</v>
      </c>
      <c r="C129" s="18">
        <v>7.5999999999999998E-2</v>
      </c>
      <c r="D129" s="18"/>
      <c r="E129" s="22">
        <f>E124*$C$129</f>
        <v>499.7643657310046</v>
      </c>
      <c r="F129" s="22">
        <f t="shared" ref="F129:H129" si="24">F124*$C$129</f>
        <v>488.80664664739663</v>
      </c>
      <c r="G129" s="22">
        <f t="shared" si="24"/>
        <v>526.73529437497632</v>
      </c>
      <c r="H129" s="22">
        <f t="shared" si="24"/>
        <v>611.55411577930226</v>
      </c>
    </row>
    <row r="130" spans="1:8">
      <c r="A130" s="43"/>
      <c r="B130" s="5" t="s">
        <v>207</v>
      </c>
      <c r="C130" s="18">
        <v>1.6500000000000001E-2</v>
      </c>
      <c r="D130" s="18"/>
      <c r="E130" s="22">
        <f>E124*$C$130</f>
        <v>108.50147413896811</v>
      </c>
      <c r="F130" s="22">
        <f t="shared" ref="F130:H130" si="25">F124*$C$130</f>
        <v>106.12249565371111</v>
      </c>
      <c r="G130" s="22">
        <f t="shared" si="25"/>
        <v>114.35700469983038</v>
      </c>
      <c r="H130" s="22">
        <f t="shared" si="25"/>
        <v>132.77161724155906</v>
      </c>
    </row>
    <row r="131" spans="1:8">
      <c r="A131" s="43"/>
      <c r="B131" s="5" t="s">
        <v>208</v>
      </c>
      <c r="C131" s="18"/>
      <c r="D131" s="18"/>
      <c r="E131" s="22">
        <f>E124*$C$131</f>
        <v>0</v>
      </c>
      <c r="F131" s="22">
        <f t="shared" ref="F131:H131" si="26">F124*$C$131</f>
        <v>0</v>
      </c>
      <c r="G131" s="22">
        <f t="shared" si="26"/>
        <v>0</v>
      </c>
      <c r="H131" s="22">
        <f t="shared" si="26"/>
        <v>0</v>
      </c>
    </row>
    <row r="132" spans="1:8">
      <c r="A132" s="43"/>
      <c r="B132" s="5" t="s">
        <v>209</v>
      </c>
      <c r="C132" s="34" t="s">
        <v>52</v>
      </c>
      <c r="D132" s="34"/>
      <c r="E132" s="22">
        <f>E124*DADOS_BASICOS!B62</f>
        <v>164.39617293783047</v>
      </c>
      <c r="F132" s="22">
        <f>F124*DADOS_BASICOS!C62</f>
        <v>160.79166008138048</v>
      </c>
      <c r="G132" s="22">
        <f>G124*DADOS_BASICOS!E62</f>
        <v>346.53637787827392</v>
      </c>
      <c r="H132" s="22">
        <f>H124*DADOS_BASICOS!F62</f>
        <v>402.33823406533043</v>
      </c>
    </row>
    <row r="133" spans="1:8" ht="31.2">
      <c r="A133" s="43"/>
      <c r="B133" s="6" t="s">
        <v>210</v>
      </c>
      <c r="C133" s="34"/>
      <c r="D133" s="34"/>
      <c r="E133" s="22"/>
      <c r="F133" s="22"/>
      <c r="G133" s="22"/>
      <c r="H133" s="22"/>
    </row>
    <row r="134" spans="1:8">
      <c r="A134" s="382" t="s">
        <v>143</v>
      </c>
      <c r="B134" s="382"/>
      <c r="C134" s="34"/>
      <c r="D134" s="34"/>
      <c r="E134" s="227">
        <f>SUM(E126:E127,E129:E133)</f>
        <v>1105.237844316468</v>
      </c>
      <c r="F134" s="227">
        <f t="shared" ref="F134:H134" si="27">SUM(F126:F127,F129:F133)</f>
        <v>1081.0046523383289</v>
      </c>
      <c r="G134" s="227">
        <f t="shared" si="27"/>
        <v>1328.2228652160197</v>
      </c>
      <c r="H134" s="227">
        <f t="shared" si="27"/>
        <v>1542.103156119214</v>
      </c>
    </row>
    <row r="135" spans="1:8">
      <c r="A135" s="40"/>
      <c r="B135" s="40"/>
      <c r="C135" s="40"/>
      <c r="D135" s="40"/>
      <c r="E135" s="40"/>
      <c r="F135" s="40"/>
    </row>
    <row r="136" spans="1:8">
      <c r="A136" s="351" t="s">
        <v>211</v>
      </c>
      <c r="B136" s="351"/>
      <c r="C136" s="351"/>
      <c r="D136" s="351"/>
      <c r="E136" s="351"/>
      <c r="F136" s="351"/>
      <c r="G136" s="351"/>
      <c r="H136" s="351"/>
    </row>
    <row r="137" spans="1:8">
      <c r="A137" s="4"/>
      <c r="B137" s="4"/>
      <c r="C137" s="4"/>
      <c r="D137" s="4"/>
      <c r="E137" s="4"/>
      <c r="F137" s="4"/>
    </row>
    <row r="138" spans="1:8">
      <c r="A138" s="41"/>
      <c r="B138" s="380" t="s">
        <v>212</v>
      </c>
      <c r="C138" s="380"/>
      <c r="D138" s="83"/>
      <c r="E138" s="41" t="s">
        <v>120</v>
      </c>
      <c r="F138" s="41" t="s">
        <v>120</v>
      </c>
      <c r="G138" s="41" t="s">
        <v>120</v>
      </c>
      <c r="H138" s="41" t="s">
        <v>120</v>
      </c>
    </row>
    <row r="139" spans="1:8">
      <c r="A139" s="37" t="s">
        <v>121</v>
      </c>
      <c r="B139" s="383" t="s">
        <v>118</v>
      </c>
      <c r="C139" s="383"/>
      <c r="D139" s="85"/>
      <c r="E139" s="85">
        <f>E31</f>
        <v>2293.1999999999998</v>
      </c>
      <c r="F139" s="85">
        <f>F31</f>
        <v>1886</v>
      </c>
      <c r="G139" s="85">
        <f>G31</f>
        <v>2367.3000000000002</v>
      </c>
      <c r="H139" s="85">
        <f>H31</f>
        <v>2901.6</v>
      </c>
    </row>
    <row r="140" spans="1:8" ht="19.5" customHeight="1">
      <c r="A140" s="37" t="s">
        <v>122</v>
      </c>
      <c r="B140" s="383" t="s">
        <v>137</v>
      </c>
      <c r="C140" s="383"/>
      <c r="D140" s="35"/>
      <c r="E140" s="85">
        <f>E70</f>
        <v>2402.5712095999997</v>
      </c>
      <c r="F140" s="85">
        <f>F70</f>
        <v>2138.8978079999997</v>
      </c>
      <c r="G140" s="85">
        <f>G70</f>
        <v>2447.1330344000003</v>
      </c>
      <c r="H140" s="85">
        <f>H70</f>
        <v>2768.4472447999997</v>
      </c>
    </row>
    <row r="141" spans="1:8" s="90" customFormat="1">
      <c r="A141" s="231" t="s">
        <v>124</v>
      </c>
      <c r="B141" s="220" t="s">
        <v>45</v>
      </c>
      <c r="C141" s="96"/>
      <c r="D141" s="96"/>
      <c r="E141" s="232">
        <f>E83</f>
        <v>144.61038623020443</v>
      </c>
      <c r="F141" s="232">
        <f>F83</f>
        <v>124.07675609591109</v>
      </c>
      <c r="G141" s="232">
        <f>G83</f>
        <v>148.2390054800845</v>
      </c>
      <c r="H141" s="232">
        <f>H83</f>
        <v>174.40326007132447</v>
      </c>
    </row>
    <row r="142" spans="1:8">
      <c r="A142" s="37" t="s">
        <v>126</v>
      </c>
      <c r="B142" s="5" t="s">
        <v>46</v>
      </c>
      <c r="C142" s="35"/>
      <c r="D142" s="35"/>
      <c r="E142" s="85">
        <f>E109</f>
        <v>144.54365448807397</v>
      </c>
      <c r="F142" s="85">
        <f>F109</f>
        <v>123.89683209875668</v>
      </c>
      <c r="G142" s="85">
        <f>G109</f>
        <v>148.19549625756724</v>
      </c>
      <c r="H142" s="85">
        <f>H109</f>
        <v>174.52719743759729</v>
      </c>
    </row>
    <row r="143" spans="1:8">
      <c r="A143" s="37" t="s">
        <v>128</v>
      </c>
      <c r="B143" s="5" t="s">
        <v>50</v>
      </c>
      <c r="C143" s="35"/>
      <c r="D143" s="35"/>
      <c r="E143" s="85">
        <f>E119</f>
        <v>485.68382287847226</v>
      </c>
      <c r="F143" s="85">
        <f>F119</f>
        <v>1077.7903547222222</v>
      </c>
      <c r="G143" s="85">
        <f>G119</f>
        <v>491.63715621180557</v>
      </c>
      <c r="H143" s="85">
        <f>H119</f>
        <v>485.68382287847226</v>
      </c>
    </row>
    <row r="144" spans="1:8" s="90" customFormat="1" ht="15.75" customHeight="1">
      <c r="A144" s="385" t="s">
        <v>213</v>
      </c>
      <c r="B144" s="385"/>
      <c r="C144" s="385"/>
      <c r="D144" s="96"/>
      <c r="E144" s="233">
        <f>SUM(E139:E143)</f>
        <v>5470.6090731967506</v>
      </c>
      <c r="F144" s="233">
        <f t="shared" ref="F144:H144" si="28">SUM(F139:F143)</f>
        <v>5350.66175091689</v>
      </c>
      <c r="G144" s="233">
        <f t="shared" si="28"/>
        <v>5602.5046923494583</v>
      </c>
      <c r="H144" s="233">
        <f t="shared" si="28"/>
        <v>6504.6615251873936</v>
      </c>
    </row>
    <row r="145" spans="1:8">
      <c r="A145" s="37" t="s">
        <v>130</v>
      </c>
      <c r="B145" s="319" t="s">
        <v>214</v>
      </c>
      <c r="C145" s="319"/>
      <c r="D145" s="35"/>
      <c r="E145" s="85">
        <f>E134</f>
        <v>1105.237844316468</v>
      </c>
      <c r="F145" s="85">
        <f>F134</f>
        <v>1081.0046523383289</v>
      </c>
      <c r="G145" s="85">
        <f>G134</f>
        <v>1328.2228652160197</v>
      </c>
      <c r="H145" s="85">
        <f>H134</f>
        <v>1542.103156119214</v>
      </c>
    </row>
    <row r="146" spans="1:8" ht="15.75" customHeight="1">
      <c r="A146" s="379" t="s">
        <v>215</v>
      </c>
      <c r="B146" s="379"/>
      <c r="C146" s="379"/>
      <c r="D146" s="35"/>
      <c r="E146" s="88">
        <f>ROUND(SUM(E144+E145),2)</f>
        <v>6575.85</v>
      </c>
      <c r="F146" s="88">
        <f t="shared" ref="F146:H146" si="29">ROUND(SUM(F144+F145),2)</f>
        <v>6431.67</v>
      </c>
      <c r="G146" s="88">
        <f t="shared" si="29"/>
        <v>6930.73</v>
      </c>
      <c r="H146" s="88">
        <f t="shared" si="29"/>
        <v>8046.76</v>
      </c>
    </row>
  </sheetData>
  <mergeCells count="85">
    <mergeCell ref="A85:H85"/>
    <mergeCell ref="A86:H86"/>
    <mergeCell ref="A105:H105"/>
    <mergeCell ref="A112:H112"/>
    <mergeCell ref="A70:C70"/>
    <mergeCell ref="A73:H73"/>
    <mergeCell ref="B101:C101"/>
    <mergeCell ref="B102:C102"/>
    <mergeCell ref="A103:C103"/>
    <mergeCell ref="A100:C100"/>
    <mergeCell ref="B14:C14"/>
    <mergeCell ref="B16:C16"/>
    <mergeCell ref="B9:C9"/>
    <mergeCell ref="A52:B52"/>
    <mergeCell ref="A39:B39"/>
    <mergeCell ref="A42:C42"/>
    <mergeCell ref="A33:H33"/>
    <mergeCell ref="A35:H35"/>
    <mergeCell ref="A41:H41"/>
    <mergeCell ref="B17:C17"/>
    <mergeCell ref="B11:C11"/>
    <mergeCell ref="B30:C30"/>
    <mergeCell ref="B18:C18"/>
    <mergeCell ref="B15:C15"/>
    <mergeCell ref="B28:C28"/>
    <mergeCell ref="B29:C29"/>
    <mergeCell ref="A6:H6"/>
    <mergeCell ref="B8:C8"/>
    <mergeCell ref="B12:C12"/>
    <mergeCell ref="B13:C13"/>
    <mergeCell ref="B10:C10"/>
    <mergeCell ref="B22:C22"/>
    <mergeCell ref="B23:C23"/>
    <mergeCell ref="B24:C24"/>
    <mergeCell ref="B25:C25"/>
    <mergeCell ref="A20:H20"/>
    <mergeCell ref="B67:C67"/>
    <mergeCell ref="B68:C68"/>
    <mergeCell ref="B69:C69"/>
    <mergeCell ref="A74:C74"/>
    <mergeCell ref="B26:C26"/>
    <mergeCell ref="B27:C27"/>
    <mergeCell ref="A54:H54"/>
    <mergeCell ref="A64:H64"/>
    <mergeCell ref="A31:C31"/>
    <mergeCell ref="A62:C62"/>
    <mergeCell ref="B118:C118"/>
    <mergeCell ref="B114:C114"/>
    <mergeCell ref="B115:C115"/>
    <mergeCell ref="B116:C116"/>
    <mergeCell ref="B106:C106"/>
    <mergeCell ref="B107:C107"/>
    <mergeCell ref="B117:C117"/>
    <mergeCell ref="B108:C108"/>
    <mergeCell ref="A109:C109"/>
    <mergeCell ref="B113:C113"/>
    <mergeCell ref="A119:C119"/>
    <mergeCell ref="B122:C122"/>
    <mergeCell ref="A121:H121"/>
    <mergeCell ref="A144:C144"/>
    <mergeCell ref="B145:C145"/>
    <mergeCell ref="A146:C146"/>
    <mergeCell ref="B123:C123"/>
    <mergeCell ref="B124:C124"/>
    <mergeCell ref="A134:B134"/>
    <mergeCell ref="B138:C138"/>
    <mergeCell ref="B139:C139"/>
    <mergeCell ref="B140:C140"/>
    <mergeCell ref="A136:H136"/>
    <mergeCell ref="A1:H1"/>
    <mergeCell ref="A3:H3"/>
    <mergeCell ref="A4:H4"/>
    <mergeCell ref="A99:H99"/>
    <mergeCell ref="B60:C60"/>
    <mergeCell ref="B61:C61"/>
    <mergeCell ref="B55:C55"/>
    <mergeCell ref="B56:C56"/>
    <mergeCell ref="B57:C57"/>
    <mergeCell ref="B58:C58"/>
    <mergeCell ref="B59:C59"/>
    <mergeCell ref="A75:C75"/>
    <mergeCell ref="A97:C97"/>
    <mergeCell ref="A83:B83"/>
    <mergeCell ref="A88:C88"/>
    <mergeCell ref="B66:C66"/>
  </mergeCells>
  <phoneticPr fontId="39" type="noConversion"/>
  <pageMargins left="0.511811023622047" right="0.511811023622047" top="0.78740157480314998" bottom="0.78740157480314998" header="0.31496062992126" footer="0.31496062992126"/>
  <pageSetup paperSize="3" scale="70" fitToHeight="0" orientation="landscape" r:id="rId1"/>
  <headerFooter>
    <oddFooter>&amp;C&amp;A
&amp;P de &amp;N</oddFooter>
  </headerFooter>
  <rowBreaks count="3" manualBreakCount="3">
    <brk id="52" max="7" man="1"/>
    <brk id="98" max="7" man="1"/>
    <brk id="134"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B2183-F54E-4E06-AD0C-4D4D8F1154A6}">
  <sheetPr>
    <pageSetUpPr fitToPage="1"/>
  </sheetPr>
  <dimension ref="A1:F148"/>
  <sheetViews>
    <sheetView view="pageBreakPreview" topLeftCell="A122" zoomScaleNormal="90" zoomScaleSheetLayoutView="100" zoomScalePageLayoutView="130" workbookViewId="0">
      <selection activeCell="E155" sqref="E155"/>
    </sheetView>
  </sheetViews>
  <sheetFormatPr defaultColWidth="8.5546875" defaultRowHeight="15.6"/>
  <cols>
    <col min="1" max="1" width="8.5546875" style="1"/>
    <col min="2" max="2" width="64.109375" style="1" customWidth="1"/>
    <col min="3" max="3" width="18" style="1" customWidth="1"/>
    <col min="4" max="4" width="3.5546875" style="1" customWidth="1"/>
    <col min="5" max="5" width="41.5546875" style="1" customWidth="1"/>
    <col min="6" max="6" width="38.33203125" style="1" customWidth="1"/>
    <col min="7" max="8" width="12.44140625" style="1" customWidth="1"/>
    <col min="9" max="10" width="8.5546875" style="1"/>
    <col min="11" max="11" width="9.109375" style="1" bestFit="1" customWidth="1"/>
    <col min="12" max="16384" width="8.5546875" style="1"/>
  </cols>
  <sheetData>
    <row r="1" spans="1:6" ht="31.5" customHeight="1">
      <c r="A1" s="320" t="s">
        <v>10</v>
      </c>
      <c r="B1" s="320"/>
      <c r="C1" s="320"/>
      <c r="D1" s="320"/>
      <c r="E1" s="320"/>
      <c r="F1" s="320"/>
    </row>
    <row r="2" spans="1:6">
      <c r="A2" s="2"/>
      <c r="B2" s="2"/>
      <c r="C2" s="2"/>
      <c r="D2" s="2"/>
      <c r="E2" s="2"/>
      <c r="F2" s="2"/>
    </row>
    <row r="3" spans="1:6">
      <c r="A3" s="321" t="str">
        <f>PROPOSTA_GLOBAL!A4</f>
        <v>SUPERINTENDÊNCIA REGIONAL DA POLÍCIA FEDERAL NO PARANÁ</v>
      </c>
      <c r="B3" s="321"/>
      <c r="C3" s="321"/>
      <c r="D3" s="321"/>
      <c r="E3" s="321"/>
      <c r="F3" s="321"/>
    </row>
    <row r="4" spans="1:6">
      <c r="A4" s="321" t="str">
        <f>PROPOSTA_GLOBAL!A5</f>
        <v>PROCESSO ADMINISTRATIVO SEI Nº 08385.000837/2025-50</v>
      </c>
      <c r="B4" s="321"/>
      <c r="C4" s="321"/>
      <c r="D4" s="321"/>
      <c r="E4" s="321"/>
      <c r="F4" s="321"/>
    </row>
    <row r="5" spans="1:6" ht="9" customHeight="1">
      <c r="A5" s="2"/>
      <c r="B5" s="2"/>
      <c r="C5" s="2"/>
      <c r="D5" s="2"/>
      <c r="E5" s="2"/>
      <c r="F5" s="2"/>
    </row>
    <row r="6" spans="1:6" ht="14.4" customHeight="1">
      <c r="A6" s="351"/>
      <c r="B6" s="351"/>
      <c r="C6" s="351"/>
      <c r="D6" s="351"/>
      <c r="E6" s="351"/>
      <c r="F6" s="351"/>
    </row>
    <row r="7" spans="1:6" ht="14.25" customHeight="1">
      <c r="A7" s="3"/>
      <c r="B7" s="3"/>
      <c r="C7" s="3"/>
      <c r="D7" s="3"/>
      <c r="E7" s="36"/>
      <c r="F7" s="36"/>
    </row>
    <row r="8" spans="1:6">
      <c r="A8" s="37">
        <v>1</v>
      </c>
      <c r="B8" s="394" t="s">
        <v>102</v>
      </c>
      <c r="C8" s="394"/>
      <c r="D8" s="77"/>
      <c r="E8" s="65" t="s">
        <v>103</v>
      </c>
      <c r="F8" s="65" t="s">
        <v>103</v>
      </c>
    </row>
    <row r="9" spans="1:6">
      <c r="A9" s="37">
        <v>2</v>
      </c>
      <c r="B9" s="394" t="s">
        <v>108</v>
      </c>
      <c r="C9" s="394"/>
      <c r="D9" s="77"/>
      <c r="E9" s="76" t="s">
        <v>216</v>
      </c>
      <c r="F9" s="76" t="s">
        <v>216</v>
      </c>
    </row>
    <row r="10" spans="1:6">
      <c r="A10" s="37">
        <v>3</v>
      </c>
      <c r="B10" s="394" t="s">
        <v>106</v>
      </c>
      <c r="C10" s="394"/>
      <c r="D10" s="77"/>
      <c r="E10" s="89" t="str">
        <f>DADOS_BASICOS!C13</f>
        <v>Servente de limpeza</v>
      </c>
      <c r="F10" s="89" t="str">
        <f>DADOS_BASICOS!C13</f>
        <v>Servente de limpeza</v>
      </c>
    </row>
    <row r="11" spans="1:6">
      <c r="A11" s="37">
        <v>4</v>
      </c>
      <c r="B11" s="394" t="s">
        <v>116</v>
      </c>
      <c r="C11" s="394"/>
      <c r="D11" s="77"/>
      <c r="E11" s="76" t="s">
        <v>115</v>
      </c>
      <c r="F11" s="76" t="s">
        <v>114</v>
      </c>
    </row>
    <row r="12" spans="1:6">
      <c r="A12" s="37">
        <v>5</v>
      </c>
      <c r="B12" s="394" t="s">
        <v>104</v>
      </c>
      <c r="C12" s="394"/>
      <c r="D12" s="77"/>
      <c r="E12" s="78" t="str">
        <f>DADOS_BASICOS!C14</f>
        <v>5143-20</v>
      </c>
      <c r="F12" s="78" t="str">
        <f>DADOS_BASICOS!C14</f>
        <v>5143-20</v>
      </c>
    </row>
    <row r="13" spans="1:6">
      <c r="A13" s="37">
        <v>6</v>
      </c>
      <c r="B13" s="394" t="s">
        <v>105</v>
      </c>
      <c r="C13" s="394"/>
      <c r="D13" s="77"/>
      <c r="E13" s="267">
        <f>DADOS_BASICOS!C17</f>
        <v>1764</v>
      </c>
      <c r="F13" s="267">
        <f>DADOS_BASICOS!C17</f>
        <v>1764</v>
      </c>
    </row>
    <row r="14" spans="1:6">
      <c r="A14" s="37">
        <v>7</v>
      </c>
      <c r="B14" s="388" t="s">
        <v>107</v>
      </c>
      <c r="C14" s="389"/>
      <c r="D14" s="77"/>
      <c r="E14" s="290">
        <f>DADOS_BASICOS!C16</f>
        <v>45689</v>
      </c>
      <c r="F14" s="290">
        <f>DADOS_BASICOS!C16</f>
        <v>45689</v>
      </c>
    </row>
    <row r="15" spans="1:6">
      <c r="A15" s="37">
        <v>8</v>
      </c>
      <c r="B15" s="394" t="s">
        <v>82</v>
      </c>
      <c r="C15" s="394"/>
      <c r="D15" s="77"/>
      <c r="E15" s="94">
        <f>DADOS_BASICOS!C18</f>
        <v>40</v>
      </c>
      <c r="F15" s="94">
        <f>DADOS_BASICOS!C18</f>
        <v>40</v>
      </c>
    </row>
    <row r="16" spans="1:6">
      <c r="A16" s="37">
        <v>9</v>
      </c>
      <c r="B16" s="394" t="s">
        <v>112</v>
      </c>
      <c r="C16" s="394"/>
      <c r="D16" s="77"/>
      <c r="E16" s="76" t="str">
        <f>DADOS_BASICOS!C15</f>
        <v>PR000074/2025</v>
      </c>
      <c r="F16" s="76" t="str">
        <f>DADOS_BASICOS!C15</f>
        <v>PR000074/2025</v>
      </c>
    </row>
    <row r="17" spans="1:6" ht="15.75" customHeight="1">
      <c r="A17" s="37">
        <v>10</v>
      </c>
      <c r="B17" s="394" t="s">
        <v>113</v>
      </c>
      <c r="C17" s="394"/>
      <c r="D17" s="77"/>
      <c r="E17" s="76" t="s">
        <v>114</v>
      </c>
      <c r="F17" s="76" t="s">
        <v>114</v>
      </c>
    </row>
    <row r="18" spans="1:6" ht="15.75" customHeight="1">
      <c r="A18" s="37">
        <v>11</v>
      </c>
      <c r="B18" s="394" t="s">
        <v>117</v>
      </c>
      <c r="C18" s="394"/>
      <c r="D18" s="77"/>
      <c r="E18" s="94">
        <f>PRODUTIVIDADE!K61-1</f>
        <v>2</v>
      </c>
      <c r="F18" s="94">
        <v>1</v>
      </c>
    </row>
    <row r="19" spans="1:6" ht="15.75" customHeight="1">
      <c r="A19" s="4"/>
      <c r="B19" s="4"/>
      <c r="C19" s="4"/>
      <c r="D19" s="4"/>
      <c r="E19" s="4"/>
      <c r="F19" s="4"/>
    </row>
    <row r="20" spans="1:6">
      <c r="A20" s="351" t="s">
        <v>118</v>
      </c>
      <c r="B20" s="351"/>
      <c r="C20" s="351"/>
      <c r="D20" s="351"/>
      <c r="E20" s="351"/>
      <c r="F20" s="351"/>
    </row>
    <row r="21" spans="1:6">
      <c r="A21" s="4"/>
      <c r="B21" s="4"/>
      <c r="C21" s="4"/>
      <c r="D21" s="4"/>
      <c r="E21" s="4"/>
      <c r="F21" s="4"/>
    </row>
    <row r="22" spans="1:6">
      <c r="A22" s="41">
        <v>1</v>
      </c>
      <c r="B22" s="373" t="s">
        <v>119</v>
      </c>
      <c r="C22" s="374"/>
      <c r="D22" s="66"/>
      <c r="E22" s="38" t="s">
        <v>120</v>
      </c>
      <c r="F22" s="38" t="s">
        <v>120</v>
      </c>
    </row>
    <row r="23" spans="1:6" ht="15.6" customHeight="1">
      <c r="A23" s="43" t="s">
        <v>121</v>
      </c>
      <c r="B23" s="390" t="s">
        <v>563</v>
      </c>
      <c r="C23" s="391"/>
      <c r="D23" s="67"/>
      <c r="E23" s="45">
        <f>DADOS_BASICOS!C19</f>
        <v>1764</v>
      </c>
      <c r="F23" s="45">
        <f>DADOS_BASICOS!C19</f>
        <v>1764</v>
      </c>
    </row>
    <row r="24" spans="1:6" ht="15.6" customHeight="1">
      <c r="A24" s="43" t="s">
        <v>122</v>
      </c>
      <c r="B24" s="392" t="s">
        <v>123</v>
      </c>
      <c r="C24" s="393"/>
      <c r="D24" s="68"/>
      <c r="E24" s="44">
        <f>IF(E17="SIM",(E23*0.3),0)</f>
        <v>529.19999999999993</v>
      </c>
      <c r="F24" s="44">
        <f>IF(F17="SIM",(F23*0.3),0)</f>
        <v>529.19999999999993</v>
      </c>
    </row>
    <row r="25" spans="1:6">
      <c r="A25" s="43" t="s">
        <v>124</v>
      </c>
      <c r="B25" s="371" t="s">
        <v>125</v>
      </c>
      <c r="C25" s="372"/>
      <c r="D25" s="69"/>
      <c r="E25" s="44">
        <v>0</v>
      </c>
      <c r="F25" s="44">
        <v>0</v>
      </c>
    </row>
    <row r="26" spans="1:6">
      <c r="A26" s="43" t="s">
        <v>126</v>
      </c>
      <c r="B26" s="388" t="s">
        <v>127</v>
      </c>
      <c r="C26" s="389"/>
      <c r="D26" s="70"/>
      <c r="E26" s="44">
        <v>0</v>
      </c>
      <c r="F26" s="44">
        <v>0</v>
      </c>
    </row>
    <row r="27" spans="1:6">
      <c r="A27" s="43" t="s">
        <v>128</v>
      </c>
      <c r="B27" s="388" t="s">
        <v>129</v>
      </c>
      <c r="C27" s="389"/>
      <c r="D27" s="70"/>
      <c r="E27" s="44">
        <v>0</v>
      </c>
      <c r="F27" s="44">
        <v>0</v>
      </c>
    </row>
    <row r="28" spans="1:6">
      <c r="A28" s="43" t="s">
        <v>130</v>
      </c>
      <c r="B28" s="392" t="s">
        <v>131</v>
      </c>
      <c r="C28" s="393"/>
      <c r="D28" s="68"/>
      <c r="E28" s="266">
        <v>0</v>
      </c>
      <c r="F28" s="266">
        <v>0</v>
      </c>
    </row>
    <row r="29" spans="1:6">
      <c r="A29" s="43" t="s">
        <v>132</v>
      </c>
      <c r="B29" s="392" t="s">
        <v>133</v>
      </c>
      <c r="C29" s="393"/>
      <c r="D29" s="68"/>
      <c r="E29" s="266">
        <f>IF(E11="SIM",DADOS_BASICOS!C20,0)</f>
        <v>0</v>
      </c>
      <c r="F29" s="266">
        <f>IF(F11="SIM",DADOS_BASICOS!C20,0)</f>
        <v>122</v>
      </c>
    </row>
    <row r="30" spans="1:6">
      <c r="A30" s="43" t="s">
        <v>134</v>
      </c>
      <c r="B30" s="392" t="s">
        <v>135</v>
      </c>
      <c r="C30" s="393"/>
      <c r="D30" s="68"/>
      <c r="E30" s="266">
        <v>0</v>
      </c>
      <c r="F30" s="266">
        <v>0</v>
      </c>
    </row>
    <row r="31" spans="1:6">
      <c r="A31" s="376" t="s">
        <v>136</v>
      </c>
      <c r="B31" s="377"/>
      <c r="C31" s="378"/>
      <c r="D31" s="71"/>
      <c r="E31" s="46">
        <f>SUM(E23:E30)</f>
        <v>2293.1999999999998</v>
      </c>
      <c r="F31" s="46">
        <f>SUM(F23:F30)</f>
        <v>2415.1999999999998</v>
      </c>
    </row>
    <row r="32" spans="1:6">
      <c r="A32" s="4"/>
      <c r="B32" s="4"/>
      <c r="C32" s="4"/>
      <c r="D32" s="4"/>
      <c r="E32" s="4"/>
      <c r="F32" s="4"/>
    </row>
    <row r="33" spans="1:6">
      <c r="A33" s="351" t="s">
        <v>137</v>
      </c>
      <c r="B33" s="351"/>
      <c r="C33" s="351"/>
      <c r="D33" s="351"/>
      <c r="E33" s="351"/>
      <c r="F33" s="351"/>
    </row>
    <row r="34" spans="1:6">
      <c r="A34" s="8"/>
      <c r="B34" s="4"/>
      <c r="C34" s="4"/>
      <c r="D34" s="4"/>
      <c r="E34" s="4"/>
      <c r="F34" s="4"/>
    </row>
    <row r="35" spans="1:6">
      <c r="A35" s="395" t="s">
        <v>42</v>
      </c>
      <c r="B35" s="395"/>
      <c r="C35" s="395"/>
      <c r="D35" s="395"/>
      <c r="E35" s="395"/>
      <c r="F35" s="395"/>
    </row>
    <row r="36" spans="1:6" ht="15.75" customHeight="1">
      <c r="A36" s="41" t="s">
        <v>138</v>
      </c>
      <c r="B36" s="41" t="s">
        <v>139</v>
      </c>
      <c r="C36" s="41" t="s">
        <v>140</v>
      </c>
      <c r="D36" s="41"/>
      <c r="E36" s="41" t="s">
        <v>120</v>
      </c>
      <c r="F36" s="41" t="s">
        <v>120</v>
      </c>
    </row>
    <row r="37" spans="1:6">
      <c r="A37" s="43" t="s">
        <v>121</v>
      </c>
      <c r="B37" s="5" t="s">
        <v>141</v>
      </c>
      <c r="C37" s="18">
        <f>1/12</f>
        <v>8.3333333333333329E-2</v>
      </c>
      <c r="D37" s="18"/>
      <c r="E37" s="9">
        <f>E$31*$C$37</f>
        <v>191.09999999999997</v>
      </c>
      <c r="F37" s="9">
        <f>F$31*$C$37</f>
        <v>201.26666666666665</v>
      </c>
    </row>
    <row r="38" spans="1:6" ht="15.75" customHeight="1">
      <c r="A38" s="25" t="s">
        <v>122</v>
      </c>
      <c r="B38" s="220" t="s">
        <v>142</v>
      </c>
      <c r="C38" s="80">
        <v>0.121</v>
      </c>
      <c r="D38" s="80"/>
      <c r="E38" s="221">
        <f>E$31*$C$38</f>
        <v>277.47719999999998</v>
      </c>
      <c r="F38" s="221">
        <f>F$31*$C$38</f>
        <v>292.23919999999998</v>
      </c>
    </row>
    <row r="39" spans="1:6">
      <c r="A39" s="379" t="s">
        <v>143</v>
      </c>
      <c r="B39" s="379"/>
      <c r="C39" s="43"/>
      <c r="D39" s="43"/>
      <c r="E39" s="29">
        <f>SUM(E37:E38)</f>
        <v>468.57719999999995</v>
      </c>
      <c r="F39" s="29">
        <f>SUM(F37:F38)</f>
        <v>493.50586666666663</v>
      </c>
    </row>
    <row r="40" spans="1:6">
      <c r="A40" s="4"/>
      <c r="B40" s="4"/>
      <c r="C40" s="4"/>
      <c r="D40" s="4"/>
      <c r="E40" s="4"/>
      <c r="F40" s="4"/>
    </row>
    <row r="41" spans="1:6" ht="15.75" customHeight="1">
      <c r="A41" s="396" t="s">
        <v>43</v>
      </c>
      <c r="B41" s="396"/>
      <c r="C41" s="396"/>
      <c r="D41" s="396"/>
      <c r="E41" s="396"/>
      <c r="F41" s="396"/>
    </row>
    <row r="42" spans="1:6" ht="15.75" customHeight="1">
      <c r="A42" s="375" t="s">
        <v>144</v>
      </c>
      <c r="B42" s="375"/>
      <c r="C42" s="375"/>
      <c r="D42" s="10"/>
      <c r="E42" s="10">
        <f>E31+E39</f>
        <v>2761.7771999999995</v>
      </c>
      <c r="F42" s="10">
        <f>F31+F39</f>
        <v>2908.7058666666662</v>
      </c>
    </row>
    <row r="43" spans="1:6" ht="32.25" customHeight="1">
      <c r="A43" s="41" t="s">
        <v>145</v>
      </c>
      <c r="B43" s="41" t="s">
        <v>146</v>
      </c>
      <c r="C43" s="41" t="s">
        <v>140</v>
      </c>
      <c r="D43" s="41"/>
      <c r="E43" s="41" t="s">
        <v>120</v>
      </c>
      <c r="F43" s="41" t="s">
        <v>120</v>
      </c>
    </row>
    <row r="44" spans="1:6">
      <c r="A44" s="43" t="s">
        <v>121</v>
      </c>
      <c r="B44" s="5" t="s">
        <v>147</v>
      </c>
      <c r="C44" s="27">
        <v>0.2</v>
      </c>
      <c r="D44" s="27"/>
      <c r="E44" s="28">
        <f>E$42*$C$44</f>
        <v>552.35543999999993</v>
      </c>
      <c r="F44" s="28">
        <f>F$42*$C$44</f>
        <v>581.74117333333322</v>
      </c>
    </row>
    <row r="45" spans="1:6">
      <c r="A45" s="43" t="s">
        <v>122</v>
      </c>
      <c r="B45" s="5" t="s">
        <v>148</v>
      </c>
      <c r="C45" s="11">
        <v>2.5000000000000001E-2</v>
      </c>
      <c r="D45" s="11"/>
      <c r="E45" s="28">
        <f>E$42*$C$45</f>
        <v>69.044429999999991</v>
      </c>
      <c r="F45" s="28">
        <f>F$42*$C$45</f>
        <v>72.717646666666653</v>
      </c>
    </row>
    <row r="46" spans="1:6">
      <c r="A46" s="43" t="s">
        <v>124</v>
      </c>
      <c r="B46" s="6" t="s">
        <v>149</v>
      </c>
      <c r="C46" s="47">
        <v>0.03</v>
      </c>
      <c r="D46" s="47"/>
      <c r="E46" s="28">
        <f>E$42*$C$46</f>
        <v>82.853315999999978</v>
      </c>
      <c r="F46" s="28">
        <f>F$42*$C$46</f>
        <v>87.261175999999978</v>
      </c>
    </row>
    <row r="47" spans="1:6">
      <c r="A47" s="43" t="s">
        <v>126</v>
      </c>
      <c r="B47" s="5" t="s">
        <v>150</v>
      </c>
      <c r="C47" s="11">
        <v>1.4999999999999999E-2</v>
      </c>
      <c r="D47" s="11"/>
      <c r="E47" s="28">
        <f>E$42*$C$47</f>
        <v>41.426657999999989</v>
      </c>
      <c r="F47" s="28">
        <f>F$42*$C$47</f>
        <v>43.630587999999989</v>
      </c>
    </row>
    <row r="48" spans="1:6">
      <c r="A48" s="43" t="s">
        <v>128</v>
      </c>
      <c r="B48" s="5" t="s">
        <v>151</v>
      </c>
      <c r="C48" s="11">
        <v>0.01</v>
      </c>
      <c r="D48" s="11"/>
      <c r="E48" s="28">
        <f>E$42*$C$48</f>
        <v>27.617771999999995</v>
      </c>
      <c r="F48" s="28">
        <f>F$42*$C$48</f>
        <v>29.087058666666664</v>
      </c>
    </row>
    <row r="49" spans="1:6">
      <c r="A49" s="43" t="s">
        <v>130</v>
      </c>
      <c r="B49" s="5" t="s">
        <v>152</v>
      </c>
      <c r="C49" s="11">
        <v>6.0000000000000001E-3</v>
      </c>
      <c r="D49" s="11"/>
      <c r="E49" s="28">
        <f>E$42*$C$49</f>
        <v>16.570663199999998</v>
      </c>
      <c r="F49" s="28">
        <f>F$42*$C$49</f>
        <v>17.452235199999997</v>
      </c>
    </row>
    <row r="50" spans="1:6">
      <c r="A50" s="43" t="s">
        <v>132</v>
      </c>
      <c r="B50" s="5" t="s">
        <v>153</v>
      </c>
      <c r="C50" s="11">
        <v>2E-3</v>
      </c>
      <c r="D50" s="11"/>
      <c r="E50" s="28">
        <f>E$42*$C$50</f>
        <v>5.5235543999999992</v>
      </c>
      <c r="F50" s="28">
        <f>F$42*$C$50</f>
        <v>5.8174117333333326</v>
      </c>
    </row>
    <row r="51" spans="1:6">
      <c r="A51" s="43" t="s">
        <v>134</v>
      </c>
      <c r="B51" s="5" t="s">
        <v>154</v>
      </c>
      <c r="C51" s="11">
        <v>0.08</v>
      </c>
      <c r="D51" s="11"/>
      <c r="E51" s="28">
        <f>E$42*$C$51</f>
        <v>220.94217599999996</v>
      </c>
      <c r="F51" s="28">
        <f>F$42*$C$51</f>
        <v>232.69646933333331</v>
      </c>
    </row>
    <row r="52" spans="1:6">
      <c r="A52" s="379" t="s">
        <v>155</v>
      </c>
      <c r="B52" s="379"/>
      <c r="C52" s="13">
        <f>SUM(C44:C51)</f>
        <v>0.36800000000000005</v>
      </c>
      <c r="D52" s="13"/>
      <c r="E52" s="29">
        <f>SUM(E44:E51)</f>
        <v>1016.3340095999997</v>
      </c>
      <c r="F52" s="29">
        <f t="shared" ref="F52" si="0">SUM(F44:F51)</f>
        <v>1070.4037589333329</v>
      </c>
    </row>
    <row r="53" spans="1:6" ht="15.75" customHeight="1">
      <c r="A53" s="14"/>
      <c r="B53" s="14"/>
      <c r="C53" s="14"/>
      <c r="D53" s="14"/>
      <c r="E53" s="14"/>
      <c r="F53" s="14"/>
    </row>
    <row r="54" spans="1:6">
      <c r="A54" s="343" t="s">
        <v>44</v>
      </c>
      <c r="B54" s="343"/>
      <c r="C54" s="343"/>
      <c r="D54" s="343"/>
      <c r="E54" s="343"/>
      <c r="F54" s="343"/>
    </row>
    <row r="55" spans="1:6">
      <c r="A55" s="41" t="s">
        <v>156</v>
      </c>
      <c r="B55" s="373" t="s">
        <v>157</v>
      </c>
      <c r="C55" s="374"/>
      <c r="D55" s="41"/>
      <c r="E55" s="41" t="s">
        <v>120</v>
      </c>
      <c r="F55" s="41" t="s">
        <v>120</v>
      </c>
    </row>
    <row r="56" spans="1:6">
      <c r="A56" s="43" t="s">
        <v>121</v>
      </c>
      <c r="B56" s="371" t="s">
        <v>158</v>
      </c>
      <c r="C56" s="372"/>
      <c r="D56" s="50"/>
      <c r="E56" s="64">
        <f>DADOS_BASICOS!$E$32-(GUARAPUAVA!E$23*DADOS_BASICOS!$F$32)</f>
        <v>180.16000000000003</v>
      </c>
      <c r="F56" s="64">
        <f>DADOS_BASICOS!$E$32-(GUARAPUAVA!F$23*DADOS_BASICOS!$F$32)</f>
        <v>180.16000000000003</v>
      </c>
    </row>
    <row r="57" spans="1:6">
      <c r="A57" s="15" t="s">
        <v>122</v>
      </c>
      <c r="B57" s="388" t="s">
        <v>159</v>
      </c>
      <c r="C57" s="389"/>
      <c r="D57" s="48"/>
      <c r="E57" s="32">
        <f>DADOS_BASICOS!C22-DADOS_BASICOS!C23</f>
        <v>644</v>
      </c>
      <c r="F57" s="32">
        <f>DADOS_BASICOS!C22-DADOS_BASICOS!C23</f>
        <v>644</v>
      </c>
    </row>
    <row r="58" spans="1:6">
      <c r="A58" s="15" t="s">
        <v>124</v>
      </c>
      <c r="B58" s="388" t="s">
        <v>94</v>
      </c>
      <c r="C58" s="389">
        <f>DADOS_BASICOS!C26</f>
        <v>28</v>
      </c>
      <c r="D58" s="48"/>
      <c r="E58" s="32">
        <f>$C$58</f>
        <v>28</v>
      </c>
      <c r="F58" s="32">
        <f>$C$58</f>
        <v>28</v>
      </c>
    </row>
    <row r="59" spans="1:6">
      <c r="A59" s="15" t="s">
        <v>126</v>
      </c>
      <c r="B59" s="388" t="s">
        <v>92</v>
      </c>
      <c r="C59" s="389">
        <f>DADOS_BASICOS!C25</f>
        <v>87.5</v>
      </c>
      <c r="D59" s="48"/>
      <c r="E59" s="32">
        <f>$C$59</f>
        <v>87.5</v>
      </c>
      <c r="F59" s="32">
        <f>$C$59</f>
        <v>87.5</v>
      </c>
    </row>
    <row r="60" spans="1:6">
      <c r="A60" s="15" t="s">
        <v>128</v>
      </c>
      <c r="B60" s="388" t="s">
        <v>160</v>
      </c>
      <c r="C60" s="389"/>
      <c r="D60" s="39"/>
      <c r="E60" s="32">
        <v>0</v>
      </c>
      <c r="F60" s="32">
        <v>0</v>
      </c>
    </row>
    <row r="61" spans="1:6">
      <c r="A61" s="15" t="s">
        <v>130</v>
      </c>
      <c r="B61" s="388" t="s">
        <v>161</v>
      </c>
      <c r="C61" s="389"/>
      <c r="D61" s="42"/>
      <c r="E61" s="33">
        <v>0</v>
      </c>
      <c r="F61" s="33">
        <v>0</v>
      </c>
    </row>
    <row r="62" spans="1:6">
      <c r="A62" s="376" t="s">
        <v>136</v>
      </c>
      <c r="B62" s="377"/>
      <c r="C62" s="378"/>
      <c r="D62" s="37"/>
      <c r="E62" s="126">
        <f>SUM(E56:E61)</f>
        <v>939.66000000000008</v>
      </c>
      <c r="F62" s="126">
        <f>SUM(F56:F61)</f>
        <v>939.66000000000008</v>
      </c>
    </row>
    <row r="63" spans="1:6">
      <c r="A63" s="4"/>
      <c r="B63" s="4"/>
      <c r="C63" s="4"/>
      <c r="D63" s="4"/>
      <c r="E63" s="4"/>
      <c r="F63" s="4"/>
    </row>
    <row r="64" spans="1:6" ht="28.5" customHeight="1">
      <c r="A64" s="343" t="s">
        <v>162</v>
      </c>
      <c r="B64" s="343"/>
      <c r="C64" s="343"/>
      <c r="D64" s="343"/>
      <c r="E64" s="343"/>
      <c r="F64" s="343"/>
    </row>
    <row r="65" spans="1:6" ht="15" customHeight="1">
      <c r="A65" s="4"/>
      <c r="B65" s="4"/>
      <c r="C65" s="4"/>
      <c r="D65" s="4"/>
      <c r="E65" s="4"/>
      <c r="F65" s="4"/>
    </row>
    <row r="66" spans="1:6">
      <c r="A66" s="41">
        <v>2</v>
      </c>
      <c r="B66" s="380" t="s">
        <v>163</v>
      </c>
      <c r="C66" s="380"/>
      <c r="D66" s="83"/>
      <c r="E66" s="41" t="s">
        <v>120</v>
      </c>
      <c r="F66" s="41" t="s">
        <v>120</v>
      </c>
    </row>
    <row r="67" spans="1:6">
      <c r="A67" s="43" t="s">
        <v>138</v>
      </c>
      <c r="B67" s="383" t="s">
        <v>139</v>
      </c>
      <c r="C67" s="383"/>
      <c r="D67" s="35"/>
      <c r="E67" s="84">
        <f>E39</f>
        <v>468.57719999999995</v>
      </c>
      <c r="F67" s="84">
        <f>F39</f>
        <v>493.50586666666663</v>
      </c>
    </row>
    <row r="68" spans="1:6">
      <c r="A68" s="43" t="s">
        <v>145</v>
      </c>
      <c r="B68" s="383" t="s">
        <v>146</v>
      </c>
      <c r="C68" s="383"/>
      <c r="D68" s="35"/>
      <c r="E68" s="85">
        <f>E52</f>
        <v>1016.3340095999997</v>
      </c>
      <c r="F68" s="85">
        <f>F52</f>
        <v>1070.4037589333329</v>
      </c>
    </row>
    <row r="69" spans="1:6">
      <c r="A69" s="43" t="s">
        <v>156</v>
      </c>
      <c r="B69" s="383" t="s">
        <v>157</v>
      </c>
      <c r="C69" s="383"/>
      <c r="D69" s="35"/>
      <c r="E69" s="85">
        <f>E62</f>
        <v>939.66000000000008</v>
      </c>
      <c r="F69" s="85">
        <f>F62</f>
        <v>939.66000000000008</v>
      </c>
    </row>
    <row r="70" spans="1:6" ht="15.75" customHeight="1">
      <c r="A70" s="379" t="s">
        <v>136</v>
      </c>
      <c r="B70" s="379"/>
      <c r="C70" s="379"/>
      <c r="D70" s="35"/>
      <c r="E70" s="86">
        <f>SUM(E67:E69)</f>
        <v>2424.5712095999997</v>
      </c>
      <c r="F70" s="86">
        <f>SUM(F67:F69)</f>
        <v>2503.5696255999997</v>
      </c>
    </row>
    <row r="71" spans="1:6" ht="11.25" customHeight="1">
      <c r="A71" s="4"/>
      <c r="B71" s="4"/>
      <c r="C71" s="4"/>
      <c r="D71" s="4"/>
      <c r="E71" s="4"/>
      <c r="F71" s="4"/>
    </row>
    <row r="72" spans="1:6" ht="3.75" customHeight="1">
      <c r="A72" s="4"/>
      <c r="B72" s="4"/>
      <c r="C72" s="4"/>
      <c r="D72" s="4"/>
      <c r="E72" s="4"/>
      <c r="F72" s="4"/>
    </row>
    <row r="73" spans="1:6" ht="18.75" customHeight="1">
      <c r="A73" s="351" t="s">
        <v>45</v>
      </c>
      <c r="B73" s="351"/>
      <c r="C73" s="351"/>
      <c r="D73" s="351"/>
      <c r="E73" s="351"/>
      <c r="F73" s="351"/>
    </row>
    <row r="74" spans="1:6">
      <c r="A74" s="381" t="s">
        <v>164</v>
      </c>
      <c r="B74" s="381"/>
      <c r="C74" s="381"/>
      <c r="D74" s="16"/>
      <c r="E74" s="16">
        <f>E31+E70-SUM(E44:E50)</f>
        <v>3922.3793759999999</v>
      </c>
      <c r="F74" s="16">
        <f>F31+F70-SUM(F44:F50)</f>
        <v>4081.062336</v>
      </c>
    </row>
    <row r="75" spans="1:6">
      <c r="A75" s="375" t="s">
        <v>165</v>
      </c>
      <c r="B75" s="375"/>
      <c r="C75" s="375"/>
      <c r="D75" s="16"/>
      <c r="E75" s="16">
        <f>E31+E70</f>
        <v>4717.7712095999996</v>
      </c>
      <c r="F75" s="16">
        <f>F31+F70</f>
        <v>4918.7696255999999</v>
      </c>
    </row>
    <row r="76" spans="1:6">
      <c r="A76" s="41">
        <v>3</v>
      </c>
      <c r="B76" s="41" t="s">
        <v>166</v>
      </c>
      <c r="C76" s="41" t="s">
        <v>167</v>
      </c>
      <c r="D76" s="41"/>
      <c r="E76" s="41" t="s">
        <v>120</v>
      </c>
      <c r="F76" s="41" t="s">
        <v>120</v>
      </c>
    </row>
    <row r="77" spans="1:6">
      <c r="A77" s="43" t="s">
        <v>121</v>
      </c>
      <c r="B77" s="58" t="s">
        <v>168</v>
      </c>
      <c r="C77" s="80">
        <f>(1/12)*5%</f>
        <v>4.1666666666666666E-3</v>
      </c>
      <c r="D77" s="80"/>
      <c r="E77" s="33">
        <f>E74*$C$77</f>
        <v>16.343247399999999</v>
      </c>
      <c r="F77" s="33">
        <f>F74*$C$77</f>
        <v>17.0044264</v>
      </c>
    </row>
    <row r="78" spans="1:6">
      <c r="A78" s="43" t="s">
        <v>122</v>
      </c>
      <c r="B78" s="17" t="s">
        <v>169</v>
      </c>
      <c r="C78" s="34">
        <v>0.08</v>
      </c>
      <c r="D78" s="34"/>
      <c r="E78" s="9">
        <f>E77*$C$78</f>
        <v>1.307459792</v>
      </c>
      <c r="F78" s="9">
        <f>F77*$C$78</f>
        <v>1.360354112</v>
      </c>
    </row>
    <row r="79" spans="1:6">
      <c r="A79" s="43" t="s">
        <v>124</v>
      </c>
      <c r="B79" s="17" t="s">
        <v>170</v>
      </c>
      <c r="C79" s="18">
        <v>0.02</v>
      </c>
      <c r="D79" s="18"/>
      <c r="E79" s="9">
        <f>$C$79*E77</f>
        <v>0.32686494799999999</v>
      </c>
      <c r="F79" s="9">
        <f>$C$79*F77</f>
        <v>0.340088528</v>
      </c>
    </row>
    <row r="80" spans="1:6">
      <c r="A80" s="43" t="s">
        <v>126</v>
      </c>
      <c r="B80" s="17" t="s">
        <v>171</v>
      </c>
      <c r="C80" s="80">
        <f>7/30/12</f>
        <v>1.9444444444444445E-2</v>
      </c>
      <c r="D80" s="80"/>
      <c r="E80" s="9">
        <f>E75*$C$80</f>
        <v>91.73444018666666</v>
      </c>
      <c r="F80" s="9">
        <f>F75*$C$80</f>
        <v>95.642742720000001</v>
      </c>
    </row>
    <row r="81" spans="1:6">
      <c r="A81" s="43" t="s">
        <v>128</v>
      </c>
      <c r="B81" s="17" t="s">
        <v>172</v>
      </c>
      <c r="C81" s="34">
        <f>$C$52</f>
        <v>0.36800000000000005</v>
      </c>
      <c r="D81" s="34"/>
      <c r="E81" s="9">
        <f>E80*$C$81</f>
        <v>33.758273988693333</v>
      </c>
      <c r="F81" s="9">
        <f>F80*$C$81</f>
        <v>35.196529320960003</v>
      </c>
    </row>
    <row r="82" spans="1:6">
      <c r="A82" s="43" t="s">
        <v>130</v>
      </c>
      <c r="B82" s="17" t="s">
        <v>173</v>
      </c>
      <c r="C82" s="18">
        <v>0.02</v>
      </c>
      <c r="D82" s="18"/>
      <c r="E82" s="9">
        <f>E80*$C$82</f>
        <v>1.8346888037333333</v>
      </c>
      <c r="F82" s="9">
        <f>F80*$C$82</f>
        <v>1.9128548544000001</v>
      </c>
    </row>
    <row r="83" spans="1:6">
      <c r="A83" s="379" t="s">
        <v>136</v>
      </c>
      <c r="B83" s="379"/>
      <c r="C83" s="18"/>
      <c r="D83" s="18"/>
      <c r="E83" s="29">
        <f>SUM(E77:E82)</f>
        <v>145.30497511909334</v>
      </c>
      <c r="F83" s="29">
        <f>SUM(F77:F82)</f>
        <v>151.45699593536</v>
      </c>
    </row>
    <row r="84" spans="1:6">
      <c r="A84" s="4"/>
      <c r="B84" s="4"/>
      <c r="C84" s="4"/>
      <c r="D84" s="4"/>
      <c r="E84" s="4"/>
      <c r="F84" s="4"/>
    </row>
    <row r="85" spans="1:6">
      <c r="A85" s="351" t="s">
        <v>46</v>
      </c>
      <c r="B85" s="351"/>
      <c r="C85" s="351"/>
      <c r="D85" s="351"/>
      <c r="E85" s="351"/>
      <c r="F85" s="351"/>
    </row>
    <row r="86" spans="1:6">
      <c r="A86" s="343" t="s">
        <v>47</v>
      </c>
      <c r="B86" s="343"/>
      <c r="C86" s="343"/>
      <c r="D86" s="343"/>
      <c r="E86" s="343"/>
      <c r="F86" s="343"/>
    </row>
    <row r="87" spans="1:6">
      <c r="A87" s="3"/>
      <c r="B87" s="3"/>
      <c r="C87" s="3"/>
      <c r="D87" s="3"/>
      <c r="E87" s="3"/>
      <c r="F87" s="3"/>
    </row>
    <row r="88" spans="1:6">
      <c r="A88" s="375" t="s">
        <v>174</v>
      </c>
      <c r="B88" s="375"/>
      <c r="C88" s="375"/>
      <c r="D88" s="10"/>
      <c r="E88" s="10">
        <f>E31+E70+E83</f>
        <v>4863.0761847190934</v>
      </c>
      <c r="F88" s="10">
        <f t="shared" ref="F88" si="1">F31+F70+F83</f>
        <v>5070.2266215353602</v>
      </c>
    </row>
    <row r="89" spans="1:6" ht="12.75" customHeight="1">
      <c r="A89" s="41" t="s">
        <v>175</v>
      </c>
      <c r="B89" s="41" t="s">
        <v>176</v>
      </c>
      <c r="C89" s="41" t="s">
        <v>177</v>
      </c>
      <c r="D89" s="41"/>
      <c r="E89" s="41" t="s">
        <v>120</v>
      </c>
      <c r="F89" s="41" t="s">
        <v>120</v>
      </c>
    </row>
    <row r="90" spans="1:6" ht="31.5" customHeight="1">
      <c r="A90" s="25" t="s">
        <v>121</v>
      </c>
      <c r="B90" s="59" t="s">
        <v>178</v>
      </c>
      <c r="C90" s="81">
        <f>(1+1/3)/12/12</f>
        <v>9.2592592592592587E-3</v>
      </c>
      <c r="D90" s="81"/>
      <c r="E90" s="60">
        <f>E88*$C$90</f>
        <v>45.028483191843456</v>
      </c>
      <c r="F90" s="60">
        <f t="shared" ref="F90" si="2">F88*$C$90</f>
        <v>46.946542791994077</v>
      </c>
    </row>
    <row r="91" spans="1:6">
      <c r="A91" s="25" t="s">
        <v>122</v>
      </c>
      <c r="B91" s="59" t="s">
        <v>179</v>
      </c>
      <c r="C91" s="82">
        <f>((2/30/12))</f>
        <v>5.5555555555555558E-3</v>
      </c>
      <c r="D91" s="82"/>
      <c r="E91" s="60">
        <f>E88*$C$91</f>
        <v>27.017089915106077</v>
      </c>
      <c r="F91" s="60">
        <f t="shared" ref="F91" si="3">F88*$C$91</f>
        <v>28.167925675196447</v>
      </c>
    </row>
    <row r="92" spans="1:6">
      <c r="A92" s="25" t="s">
        <v>124</v>
      </c>
      <c r="B92" s="59" t="s">
        <v>180</v>
      </c>
      <c r="C92" s="47">
        <f>((15/30/12)*0.0078)</f>
        <v>3.2499999999999999E-4</v>
      </c>
      <c r="D92" s="47"/>
      <c r="E92" s="60">
        <f>E88*$C$92</f>
        <v>1.5804997600337052</v>
      </c>
      <c r="F92" s="60">
        <f t="shared" ref="F92" si="4">F88*$C$92</f>
        <v>1.6478236519989919</v>
      </c>
    </row>
    <row r="93" spans="1:6" ht="14.4" customHeight="1">
      <c r="A93" s="25" t="s">
        <v>126</v>
      </c>
      <c r="B93" s="59" t="s">
        <v>181</v>
      </c>
      <c r="C93" s="82">
        <f>(5/30/12)*0.02</f>
        <v>2.7777777777777778E-4</v>
      </c>
      <c r="D93" s="82"/>
      <c r="E93" s="60">
        <f>E88*$C$93</f>
        <v>1.3508544957553037</v>
      </c>
      <c r="F93" s="60">
        <f t="shared" ref="F93" si="5">F88*$C$93</f>
        <v>1.4083962837598223</v>
      </c>
    </row>
    <row r="94" spans="1:6">
      <c r="A94" s="25" t="s">
        <v>128</v>
      </c>
      <c r="B94" s="59" t="s">
        <v>182</v>
      </c>
      <c r="C94" s="82">
        <f>(4/12)/12*0.02</f>
        <v>5.5555555555555556E-4</v>
      </c>
      <c r="D94" s="82"/>
      <c r="E94" s="60">
        <f>E88*$C$94</f>
        <v>2.7017089915106074</v>
      </c>
      <c r="F94" s="60">
        <f t="shared" ref="F94" si="6">F88*$C$94</f>
        <v>2.8167925675196446</v>
      </c>
    </row>
    <row r="95" spans="1:6">
      <c r="A95" s="25" t="s">
        <v>130</v>
      </c>
      <c r="B95" s="59" t="s">
        <v>183</v>
      </c>
      <c r="C95" s="47">
        <f>(5/30)/12</f>
        <v>1.3888888888888888E-2</v>
      </c>
      <c r="D95" s="47"/>
      <c r="E95" s="60">
        <f>E88*$C$95</f>
        <v>67.542724787765181</v>
      </c>
      <c r="F95" s="60">
        <f t="shared" ref="F95" si="7">F88*$C$95</f>
        <v>70.419814187991108</v>
      </c>
    </row>
    <row r="96" spans="1:6">
      <c r="A96" s="25" t="s">
        <v>132</v>
      </c>
      <c r="B96" s="59" t="s">
        <v>184</v>
      </c>
      <c r="C96" s="47">
        <v>0</v>
      </c>
      <c r="D96" s="47"/>
      <c r="E96" s="60">
        <f>E88*$C$96</f>
        <v>0</v>
      </c>
      <c r="F96" s="60">
        <f t="shared" ref="F96" si="8">F88*$C$96</f>
        <v>0</v>
      </c>
    </row>
    <row r="97" spans="1:6">
      <c r="A97" s="376" t="s">
        <v>185</v>
      </c>
      <c r="B97" s="377"/>
      <c r="C97" s="378"/>
      <c r="D97" s="71"/>
      <c r="E97" s="29">
        <f>SUM(E90:E96)</f>
        <v>145.22136114201433</v>
      </c>
      <c r="F97" s="29">
        <f>SUM(F90:F96)</f>
        <v>151.4072951584601</v>
      </c>
    </row>
    <row r="98" spans="1:6">
      <c r="A98" s="31"/>
      <c r="B98" s="31"/>
      <c r="C98" s="31"/>
      <c r="D98" s="31"/>
      <c r="E98" s="31"/>
      <c r="F98" s="31"/>
    </row>
    <row r="99" spans="1:6">
      <c r="A99" s="370" t="s">
        <v>48</v>
      </c>
      <c r="B99" s="370"/>
      <c r="C99" s="370"/>
      <c r="D99" s="370"/>
      <c r="E99" s="370"/>
      <c r="F99" s="74"/>
    </row>
    <row r="100" spans="1:6">
      <c r="A100" s="399" t="s">
        <v>186</v>
      </c>
      <c r="B100" s="399"/>
      <c r="C100" s="399"/>
      <c r="D100" s="49"/>
      <c r="E100" s="98">
        <f>E31+E70+E83</f>
        <v>4863.0761847190934</v>
      </c>
      <c r="F100" s="98">
        <f>F31+F70+F83</f>
        <v>5070.2266215353602</v>
      </c>
    </row>
    <row r="101" spans="1:6" ht="68.25" customHeight="1">
      <c r="A101" s="20" t="s">
        <v>187</v>
      </c>
      <c r="B101" s="387" t="s">
        <v>188</v>
      </c>
      <c r="C101" s="387"/>
      <c r="D101" s="87"/>
      <c r="E101" s="73" t="s">
        <v>120</v>
      </c>
      <c r="F101" s="73" t="s">
        <v>120</v>
      </c>
    </row>
    <row r="102" spans="1:6">
      <c r="A102" s="21" t="s">
        <v>121</v>
      </c>
      <c r="B102" s="398" t="s">
        <v>189</v>
      </c>
      <c r="C102" s="398"/>
      <c r="D102" s="35"/>
      <c r="E102" s="85"/>
      <c r="F102" s="85"/>
    </row>
    <row r="103" spans="1:6" ht="15.75" customHeight="1">
      <c r="A103" s="384" t="s">
        <v>136</v>
      </c>
      <c r="B103" s="384"/>
      <c r="C103" s="384"/>
      <c r="D103" s="35"/>
      <c r="E103" s="86">
        <f>E102</f>
        <v>0</v>
      </c>
      <c r="F103" s="86">
        <f>F102</f>
        <v>0</v>
      </c>
    </row>
    <row r="104" spans="1:6" ht="30" customHeight="1">
      <c r="A104" s="26"/>
      <c r="B104" s="4"/>
      <c r="C104" s="4"/>
      <c r="D104" s="4"/>
      <c r="E104" s="4"/>
      <c r="F104" s="4"/>
    </row>
    <row r="105" spans="1:6">
      <c r="A105" s="397" t="s">
        <v>190</v>
      </c>
      <c r="B105" s="397"/>
      <c r="C105" s="397"/>
      <c r="D105" s="397"/>
      <c r="E105" s="397"/>
      <c r="F105" s="397"/>
    </row>
    <row r="106" spans="1:6">
      <c r="A106" s="41">
        <v>4</v>
      </c>
      <c r="B106" s="387" t="s">
        <v>191</v>
      </c>
      <c r="C106" s="387"/>
      <c r="D106" s="87"/>
      <c r="E106" s="41" t="s">
        <v>120</v>
      </c>
      <c r="F106" s="41" t="s">
        <v>120</v>
      </c>
    </row>
    <row r="107" spans="1:6">
      <c r="A107" s="43" t="s">
        <v>175</v>
      </c>
      <c r="B107" s="386" t="s">
        <v>192</v>
      </c>
      <c r="C107" s="386"/>
      <c r="D107" s="35"/>
      <c r="E107" s="85">
        <f>E97</f>
        <v>145.22136114201433</v>
      </c>
      <c r="F107" s="85">
        <f t="shared" ref="F107" si="9">F97</f>
        <v>151.4072951584601</v>
      </c>
    </row>
    <row r="108" spans="1:6">
      <c r="A108" s="43" t="s">
        <v>187</v>
      </c>
      <c r="B108" s="386" t="s">
        <v>193</v>
      </c>
      <c r="C108" s="386"/>
      <c r="D108" s="35"/>
      <c r="E108" s="85">
        <f>E103</f>
        <v>0</v>
      </c>
      <c r="F108" s="85">
        <f t="shared" ref="F108" si="10">F103</f>
        <v>0</v>
      </c>
    </row>
    <row r="109" spans="1:6">
      <c r="A109" s="384" t="s">
        <v>136</v>
      </c>
      <c r="B109" s="384"/>
      <c r="C109" s="384"/>
      <c r="D109" s="35"/>
      <c r="E109" s="86">
        <f>SUM(E107:E108)</f>
        <v>145.22136114201433</v>
      </c>
      <c r="F109" s="86">
        <f t="shared" ref="F109" si="11">SUM(F107:F108)</f>
        <v>151.4072951584601</v>
      </c>
    </row>
    <row r="110" spans="1:6">
      <c r="A110" s="4"/>
      <c r="B110" s="4"/>
      <c r="C110" s="4"/>
      <c r="D110" s="4"/>
      <c r="E110" s="4"/>
      <c r="F110" s="4"/>
    </row>
    <row r="111" spans="1:6">
      <c r="A111" s="4"/>
      <c r="B111" s="4"/>
      <c r="C111" s="4"/>
      <c r="D111" s="4"/>
      <c r="E111" s="4"/>
      <c r="F111" s="4"/>
    </row>
    <row r="112" spans="1:6">
      <c r="A112" s="351" t="s">
        <v>50</v>
      </c>
      <c r="B112" s="351"/>
      <c r="C112" s="351"/>
      <c r="D112" s="351"/>
      <c r="E112" s="351"/>
      <c r="F112" s="351"/>
    </row>
    <row r="113" spans="1:6">
      <c r="A113" s="41">
        <v>5</v>
      </c>
      <c r="B113" s="387" t="s">
        <v>194</v>
      </c>
      <c r="C113" s="387"/>
      <c r="D113" s="87"/>
      <c r="E113" s="41" t="s">
        <v>120</v>
      </c>
      <c r="F113" s="41" t="s">
        <v>120</v>
      </c>
    </row>
    <row r="114" spans="1:6">
      <c r="A114" s="15" t="s">
        <v>121</v>
      </c>
      <c r="B114" s="386" t="s">
        <v>195</v>
      </c>
      <c r="C114" s="386"/>
      <c r="D114" s="228"/>
      <c r="E114" s="229">
        <f>UNIFORMES!$F$18</f>
        <v>71.998888888888885</v>
      </c>
      <c r="F114" s="229">
        <f>UNIFORMES!F47</f>
        <v>80.668888888888887</v>
      </c>
    </row>
    <row r="115" spans="1:6">
      <c r="A115" s="15" t="s">
        <v>122</v>
      </c>
      <c r="B115" s="386" t="s">
        <v>41</v>
      </c>
      <c r="C115" s="386"/>
      <c r="D115" s="228"/>
      <c r="E115" s="229">
        <f>EQUIPAMENTOS!$R$24</f>
        <v>31.954353333333334</v>
      </c>
      <c r="F115" s="229">
        <f>EQUIPAMENTOS!$R$24</f>
        <v>31.954353333333334</v>
      </c>
    </row>
    <row r="116" spans="1:6">
      <c r="A116" s="15" t="s">
        <v>124</v>
      </c>
      <c r="B116" s="386" t="s">
        <v>196</v>
      </c>
      <c r="C116" s="386"/>
      <c r="D116" s="228"/>
      <c r="E116" s="229">
        <f>UTENSÍLIOS!$Q$76</f>
        <v>158.72111111111113</v>
      </c>
      <c r="F116" s="229">
        <f>UTENSÍLIOS!$Q$76</f>
        <v>158.72111111111113</v>
      </c>
    </row>
    <row r="117" spans="1:6">
      <c r="A117" s="15" t="s">
        <v>124</v>
      </c>
      <c r="B117" s="386" t="s">
        <v>197</v>
      </c>
      <c r="C117" s="386"/>
      <c r="D117" s="228"/>
      <c r="E117" s="229">
        <f>INSUMOS!$Q$52</f>
        <v>388.81</v>
      </c>
      <c r="F117" s="229">
        <f>INSUMOS!$Q$52</f>
        <v>388.81</v>
      </c>
    </row>
    <row r="118" spans="1:6">
      <c r="A118" s="15" t="s">
        <v>128</v>
      </c>
      <c r="B118" s="386" t="s">
        <v>198</v>
      </c>
      <c r="C118" s="386"/>
      <c r="D118" s="228"/>
      <c r="E118" s="229"/>
      <c r="F118" s="229"/>
    </row>
    <row r="119" spans="1:6">
      <c r="A119" s="384" t="s">
        <v>155</v>
      </c>
      <c r="B119" s="384"/>
      <c r="C119" s="384"/>
      <c r="D119" s="228"/>
      <c r="E119" s="230">
        <f>SUM(E114:E118)</f>
        <v>651.48435333333327</v>
      </c>
      <c r="F119" s="230">
        <f>SUM(F114:F118)</f>
        <v>660.15435333333335</v>
      </c>
    </row>
    <row r="120" spans="1:6" ht="7.8" customHeight="1">
      <c r="A120" s="4"/>
      <c r="B120" s="4"/>
      <c r="C120" s="4"/>
      <c r="D120" s="4"/>
      <c r="E120" s="4"/>
      <c r="F120" s="4"/>
    </row>
    <row r="121" spans="1:6">
      <c r="A121" s="351" t="s">
        <v>51</v>
      </c>
      <c r="B121" s="351"/>
      <c r="C121" s="351"/>
      <c r="D121" s="351"/>
      <c r="E121" s="351"/>
      <c r="F121" s="351"/>
    </row>
    <row r="122" spans="1:6">
      <c r="A122" s="3"/>
      <c r="B122" s="381" t="s">
        <v>199</v>
      </c>
      <c r="C122" s="381"/>
      <c r="D122" s="72"/>
      <c r="E122" s="10">
        <f t="shared" ref="E122:F122" si="12">E31+E70+E83+E109+E119</f>
        <v>5659.7818991944414</v>
      </c>
      <c r="F122" s="10">
        <f t="shared" si="12"/>
        <v>5881.7882700271539</v>
      </c>
    </row>
    <row r="123" spans="1:6">
      <c r="A123" s="3"/>
      <c r="B123" s="381" t="s">
        <v>200</v>
      </c>
      <c r="C123" s="381"/>
      <c r="D123" s="72"/>
      <c r="E123" s="10">
        <f>E122+E126</f>
        <v>5818.2557923718859</v>
      </c>
      <c r="F123" s="10">
        <f>F122+F126</f>
        <v>6046.4783415879137</v>
      </c>
    </row>
    <row r="124" spans="1:6">
      <c r="A124" s="3"/>
      <c r="B124" s="381" t="s">
        <v>201</v>
      </c>
      <c r="C124" s="381"/>
      <c r="D124" s="72"/>
      <c r="E124" s="10">
        <f>(E123+E127)/(1-E128)</f>
        <v>7001.5838509020987</v>
      </c>
      <c r="F124" s="10">
        <f>(F123+F127)/(1-F128)</f>
        <v>7276.2227413231121</v>
      </c>
    </row>
    <row r="125" spans="1:6">
      <c r="A125" s="41">
        <v>6</v>
      </c>
      <c r="B125" s="41" t="s">
        <v>202</v>
      </c>
      <c r="C125" s="41" t="s">
        <v>140</v>
      </c>
      <c r="D125" s="41"/>
      <c r="E125" s="41" t="s">
        <v>120</v>
      </c>
      <c r="F125" s="41" t="s">
        <v>120</v>
      </c>
    </row>
    <row r="126" spans="1:6">
      <c r="A126" s="43" t="s">
        <v>121</v>
      </c>
      <c r="B126" s="6" t="s">
        <v>203</v>
      </c>
      <c r="C126" s="47" t="s">
        <v>52</v>
      </c>
      <c r="D126" s="47"/>
      <c r="E126" s="22">
        <f>E122*DADOS_BASICOS!B43</f>
        <v>158.47389317744435</v>
      </c>
      <c r="F126" s="22">
        <f>F122*DADOS_BASICOS!D43</f>
        <v>164.69007156076032</v>
      </c>
    </row>
    <row r="127" spans="1:6">
      <c r="A127" s="43" t="s">
        <v>122</v>
      </c>
      <c r="B127" s="6" t="s">
        <v>204</v>
      </c>
      <c r="C127" s="47" t="s">
        <v>52</v>
      </c>
      <c r="D127" s="47"/>
      <c r="E127" s="22">
        <f>E123*DADOS_BASICOS!B53</f>
        <v>185.60235977666315</v>
      </c>
      <c r="F127" s="22">
        <f>F123*DADOS_BASICOS!D53</f>
        <v>192.88265909665444</v>
      </c>
    </row>
    <row r="128" spans="1:6">
      <c r="A128" s="43" t="s">
        <v>124</v>
      </c>
      <c r="B128" s="5" t="s">
        <v>205</v>
      </c>
      <c r="C128" s="18"/>
      <c r="D128" s="18"/>
      <c r="E128" s="224">
        <f>SUM($C$129:$C$131,$C$133,DADOS_BASICOS!B63)</f>
        <v>0.14250000000000002</v>
      </c>
      <c r="F128" s="224">
        <f>SUM($C$129:$C$131,$C$133,DADOS_BASICOS!D63)</f>
        <v>0.14250000000000002</v>
      </c>
    </row>
    <row r="129" spans="1:6" ht="31.5" customHeight="1">
      <c r="A129" s="43"/>
      <c r="B129" s="5" t="s">
        <v>206</v>
      </c>
      <c r="C129" s="18">
        <v>7.5999999999999998E-2</v>
      </c>
      <c r="D129" s="18"/>
      <c r="E129" s="22">
        <f>E124*$C$129</f>
        <v>532.12037266855953</v>
      </c>
      <c r="F129" s="22">
        <f>F124*$C$129</f>
        <v>552.99292834055655</v>
      </c>
    </row>
    <row r="130" spans="1:6">
      <c r="A130" s="43"/>
      <c r="B130" s="5" t="s">
        <v>207</v>
      </c>
      <c r="C130" s="18">
        <v>1.6500000000000001E-2</v>
      </c>
      <c r="D130" s="18"/>
      <c r="E130" s="22">
        <f>E124*$C$130</f>
        <v>115.52613353988464</v>
      </c>
      <c r="F130" s="22">
        <f>F124*$C$130</f>
        <v>120.05767523183135</v>
      </c>
    </row>
    <row r="131" spans="1:6">
      <c r="A131" s="43"/>
      <c r="B131" s="5" t="s">
        <v>208</v>
      </c>
      <c r="C131" s="18"/>
      <c r="D131" s="18"/>
      <c r="E131" s="22">
        <f>E124*$C$131</f>
        <v>0</v>
      </c>
      <c r="F131" s="22">
        <f>F124*$C$131</f>
        <v>0</v>
      </c>
    </row>
    <row r="132" spans="1:6">
      <c r="A132" s="43"/>
      <c r="B132" s="5" t="s">
        <v>209</v>
      </c>
      <c r="C132" s="47" t="s">
        <v>52</v>
      </c>
      <c r="D132" s="34"/>
      <c r="E132" s="22">
        <f>E124*DADOS_BASICOS!B63</f>
        <v>350.07919254510495</v>
      </c>
      <c r="F132" s="22">
        <f>F124*DADOS_BASICOS!D63</f>
        <v>363.81113706615565</v>
      </c>
    </row>
    <row r="133" spans="1:6" ht="31.2">
      <c r="A133" s="43"/>
      <c r="B133" s="6" t="s">
        <v>210</v>
      </c>
      <c r="C133" s="34"/>
      <c r="D133" s="34"/>
      <c r="E133" s="22"/>
      <c r="F133" s="22"/>
    </row>
    <row r="134" spans="1:6">
      <c r="A134" s="319" t="s">
        <v>143</v>
      </c>
      <c r="B134" s="319"/>
      <c r="C134" s="18"/>
      <c r="D134" s="18"/>
      <c r="E134" s="30">
        <f>SUM(E126:E127,E129:E133)</f>
        <v>1341.8019517076566</v>
      </c>
      <c r="F134" s="30">
        <f>SUM(F126:F127,F129:F133)</f>
        <v>1394.4344712959582</v>
      </c>
    </row>
    <row r="135" spans="1:6">
      <c r="A135" s="490"/>
      <c r="B135" s="490"/>
      <c r="C135" s="491"/>
      <c r="D135" s="491"/>
      <c r="E135" s="492"/>
      <c r="F135" s="492"/>
    </row>
    <row r="136" spans="1:6" ht="10.8" customHeight="1">
      <c r="A136" s="40"/>
      <c r="B136" s="40"/>
      <c r="C136" s="40"/>
      <c r="D136" s="40"/>
      <c r="E136" s="40"/>
      <c r="F136" s="40"/>
    </row>
    <row r="137" spans="1:6">
      <c r="A137" s="351" t="s">
        <v>211</v>
      </c>
      <c r="B137" s="351"/>
      <c r="C137" s="351"/>
      <c r="D137" s="351"/>
      <c r="E137" s="351"/>
      <c r="F137" s="351"/>
    </row>
    <row r="138" spans="1:6" ht="6.6" customHeight="1">
      <c r="A138" s="4"/>
      <c r="B138" s="4"/>
      <c r="C138" s="4"/>
      <c r="D138" s="4"/>
      <c r="E138" s="4"/>
      <c r="F138" s="4"/>
    </row>
    <row r="139" spans="1:6">
      <c r="A139" s="41"/>
      <c r="B139" s="380" t="s">
        <v>212</v>
      </c>
      <c r="C139" s="380"/>
      <c r="D139" s="83"/>
      <c r="E139" s="41" t="s">
        <v>120</v>
      </c>
      <c r="F139" s="41" t="s">
        <v>120</v>
      </c>
    </row>
    <row r="140" spans="1:6">
      <c r="A140" s="37" t="s">
        <v>121</v>
      </c>
      <c r="B140" s="383" t="s">
        <v>118</v>
      </c>
      <c r="C140" s="383"/>
      <c r="D140" s="85"/>
      <c r="E140" s="85">
        <f>E31</f>
        <v>2293.1999999999998</v>
      </c>
      <c r="F140" s="85">
        <f>F31</f>
        <v>2415.1999999999998</v>
      </c>
    </row>
    <row r="141" spans="1:6" ht="19.5" customHeight="1">
      <c r="A141" s="37" t="s">
        <v>122</v>
      </c>
      <c r="B141" s="383" t="s">
        <v>137</v>
      </c>
      <c r="C141" s="383"/>
      <c r="D141" s="35"/>
      <c r="E141" s="85">
        <f>E70</f>
        <v>2424.5712095999997</v>
      </c>
      <c r="F141" s="85">
        <f>F70</f>
        <v>2503.5696255999997</v>
      </c>
    </row>
    <row r="142" spans="1:6" s="90" customFormat="1">
      <c r="A142" s="231" t="s">
        <v>124</v>
      </c>
      <c r="B142" s="220" t="s">
        <v>45</v>
      </c>
      <c r="C142" s="96"/>
      <c r="D142" s="96"/>
      <c r="E142" s="232">
        <f>E83</f>
        <v>145.30497511909334</v>
      </c>
      <c r="F142" s="232">
        <f>F83</f>
        <v>151.45699593536</v>
      </c>
    </row>
    <row r="143" spans="1:6" s="90" customFormat="1">
      <c r="A143" s="231" t="s">
        <v>126</v>
      </c>
      <c r="B143" s="220" t="s">
        <v>46</v>
      </c>
      <c r="C143" s="96"/>
      <c r="D143" s="96"/>
      <c r="E143" s="232">
        <f>E109</f>
        <v>145.22136114201433</v>
      </c>
      <c r="F143" s="232">
        <f>F109</f>
        <v>151.4072951584601</v>
      </c>
    </row>
    <row r="144" spans="1:6" s="90" customFormat="1">
      <c r="A144" s="231" t="s">
        <v>128</v>
      </c>
      <c r="B144" s="220" t="s">
        <v>50</v>
      </c>
      <c r="C144" s="96"/>
      <c r="D144" s="96"/>
      <c r="E144" s="232">
        <f>E119</f>
        <v>651.48435333333327</v>
      </c>
      <c r="F144" s="232">
        <f>F119</f>
        <v>660.15435333333335</v>
      </c>
    </row>
    <row r="145" spans="1:6" s="90" customFormat="1" ht="15.75" customHeight="1">
      <c r="A145" s="385" t="s">
        <v>213</v>
      </c>
      <c r="B145" s="385"/>
      <c r="C145" s="385"/>
      <c r="D145" s="96"/>
      <c r="E145" s="233">
        <f>SUM(E140:E144)</f>
        <v>5659.7818991944414</v>
      </c>
      <c r="F145" s="233">
        <f>SUM(F140:F144)</f>
        <v>5881.7882700271539</v>
      </c>
    </row>
    <row r="146" spans="1:6">
      <c r="A146" s="37" t="s">
        <v>130</v>
      </c>
      <c r="B146" s="319" t="s">
        <v>214</v>
      </c>
      <c r="C146" s="319"/>
      <c r="D146" s="35"/>
      <c r="E146" s="85">
        <f>E134</f>
        <v>1341.8019517076566</v>
      </c>
      <c r="F146" s="85">
        <f>F134</f>
        <v>1394.4344712959582</v>
      </c>
    </row>
    <row r="147" spans="1:6" ht="15.75" customHeight="1">
      <c r="A147" s="379" t="s">
        <v>215</v>
      </c>
      <c r="B147" s="379"/>
      <c r="C147" s="379"/>
      <c r="D147" s="35"/>
      <c r="E147" s="88">
        <f>ROUND(SUM(E145+E146),2)</f>
        <v>7001.58</v>
      </c>
      <c r="F147" s="88">
        <f t="shared" ref="F147" si="13">ROUND(SUM(F145+F146),2)</f>
        <v>7276.22</v>
      </c>
    </row>
    <row r="148" spans="1:6" ht="9.6" customHeight="1">
      <c r="A148" s="487"/>
      <c r="B148" s="487"/>
      <c r="C148" s="487"/>
      <c r="D148" s="488"/>
      <c r="E148" s="489"/>
      <c r="F148" s="489"/>
    </row>
  </sheetData>
  <mergeCells count="85">
    <mergeCell ref="B141:C141"/>
    <mergeCell ref="A145:C145"/>
    <mergeCell ref="B146:C146"/>
    <mergeCell ref="A147:C147"/>
    <mergeCell ref="B123:C123"/>
    <mergeCell ref="B124:C124"/>
    <mergeCell ref="A134:B134"/>
    <mergeCell ref="A137:F137"/>
    <mergeCell ref="B139:C139"/>
    <mergeCell ref="B140:C140"/>
    <mergeCell ref="A119:C119"/>
    <mergeCell ref="A121:F121"/>
    <mergeCell ref="B122:C122"/>
    <mergeCell ref="B107:C107"/>
    <mergeCell ref="B108:C108"/>
    <mergeCell ref="A109:C109"/>
    <mergeCell ref="A112:F112"/>
    <mergeCell ref="B113:C113"/>
    <mergeCell ref="B114:C114"/>
    <mergeCell ref="B116:C116"/>
    <mergeCell ref="B115:C115"/>
    <mergeCell ref="B117:C117"/>
    <mergeCell ref="B118:C118"/>
    <mergeCell ref="B57:C57"/>
    <mergeCell ref="B58:C58"/>
    <mergeCell ref="B106:C106"/>
    <mergeCell ref="A83:B83"/>
    <mergeCell ref="A85:F85"/>
    <mergeCell ref="A86:F86"/>
    <mergeCell ref="A88:C88"/>
    <mergeCell ref="A97:C97"/>
    <mergeCell ref="A99:E99"/>
    <mergeCell ref="A100:C100"/>
    <mergeCell ref="B101:C101"/>
    <mergeCell ref="B102:C102"/>
    <mergeCell ref="A103:C103"/>
    <mergeCell ref="A105:F105"/>
    <mergeCell ref="B61:C61"/>
    <mergeCell ref="A39:B39"/>
    <mergeCell ref="A41:F41"/>
    <mergeCell ref="A75:C75"/>
    <mergeCell ref="A52:B52"/>
    <mergeCell ref="A54:F54"/>
    <mergeCell ref="A62:C62"/>
    <mergeCell ref="A64:F64"/>
    <mergeCell ref="B66:C66"/>
    <mergeCell ref="B67:C67"/>
    <mergeCell ref="B68:C68"/>
    <mergeCell ref="B69:C69"/>
    <mergeCell ref="A70:C70"/>
    <mergeCell ref="A73:F73"/>
    <mergeCell ref="A74:C74"/>
    <mergeCell ref="B55:C55"/>
    <mergeCell ref="B56:C56"/>
    <mergeCell ref="A6:F6"/>
    <mergeCell ref="B8:C8"/>
    <mergeCell ref="B12:C12"/>
    <mergeCell ref="B24:C24"/>
    <mergeCell ref="B13:C13"/>
    <mergeCell ref="B10:C10"/>
    <mergeCell ref="B14:C14"/>
    <mergeCell ref="B15:C15"/>
    <mergeCell ref="B9:C9"/>
    <mergeCell ref="B16:C16"/>
    <mergeCell ref="B17:C17"/>
    <mergeCell ref="B11:C11"/>
    <mergeCell ref="A20:F20"/>
    <mergeCell ref="B22:C22"/>
    <mergeCell ref="B23:C23"/>
    <mergeCell ref="A1:F1"/>
    <mergeCell ref="A3:F3"/>
    <mergeCell ref="A4:F4"/>
    <mergeCell ref="B59:C59"/>
    <mergeCell ref="B60:C60"/>
    <mergeCell ref="B18:C18"/>
    <mergeCell ref="A42:C42"/>
    <mergeCell ref="B25:C25"/>
    <mergeCell ref="B26:C26"/>
    <mergeCell ref="B27:C27"/>
    <mergeCell ref="B28:C28"/>
    <mergeCell ref="B29:C29"/>
    <mergeCell ref="B30:C30"/>
    <mergeCell ref="A31:C31"/>
    <mergeCell ref="A33:F33"/>
    <mergeCell ref="A35:F35"/>
  </mergeCells>
  <pageMargins left="0.511811023622047" right="0.511811023622047" top="0.78740157480314998" bottom="0.78740157480314998" header="0.31496062992126" footer="0.31496062992126"/>
  <pageSetup paperSize="3" fitToHeight="0" orientation="landscape" r:id="rId1"/>
  <headerFooter>
    <oddFooter>&amp;C&amp;A
&amp;P de &amp;N</oddFooter>
  </headerFooter>
  <rowBreaks count="4" manualBreakCount="4">
    <brk id="39" max="5" man="1"/>
    <brk id="70" max="5" man="1"/>
    <brk id="97" max="5" man="1"/>
    <brk id="119" max="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9CC4F-47CE-4BCA-A06A-7D908EF6C266}">
  <sheetPr>
    <pageSetUpPr fitToPage="1"/>
  </sheetPr>
  <dimension ref="A1:G149"/>
  <sheetViews>
    <sheetView view="pageBreakPreview" topLeftCell="A125" zoomScaleNormal="70" zoomScaleSheetLayoutView="100" workbookViewId="0">
      <selection activeCell="F158" sqref="F158"/>
    </sheetView>
  </sheetViews>
  <sheetFormatPr defaultColWidth="8.5546875" defaultRowHeight="15.6"/>
  <cols>
    <col min="1" max="1" width="8.5546875" style="1"/>
    <col min="2" max="2" width="64.109375" style="1" customWidth="1"/>
    <col min="3" max="3" width="18" style="1" customWidth="1"/>
    <col min="4" max="4" width="3.5546875" style="1" customWidth="1"/>
    <col min="5" max="6" width="41.5546875" style="1" customWidth="1"/>
    <col min="7" max="7" width="37.109375" style="1" customWidth="1"/>
    <col min="8" max="9" width="12.44140625" style="1" customWidth="1"/>
    <col min="10" max="11" width="8.5546875" style="1"/>
    <col min="12" max="12" width="9.109375" style="1" bestFit="1" customWidth="1"/>
    <col min="13" max="16384" width="8.5546875" style="1"/>
  </cols>
  <sheetData>
    <row r="1" spans="1:7" ht="30.75" customHeight="1">
      <c r="A1" s="320" t="s">
        <v>10</v>
      </c>
      <c r="B1" s="320"/>
      <c r="C1" s="320"/>
      <c r="D1" s="320"/>
      <c r="E1" s="320"/>
      <c r="F1" s="95"/>
      <c r="G1" s="124"/>
    </row>
    <row r="2" spans="1:7">
      <c r="A2" s="2"/>
      <c r="B2" s="2"/>
      <c r="C2" s="2"/>
      <c r="D2" s="2"/>
      <c r="E2" s="2"/>
      <c r="F2" s="2"/>
      <c r="G2" s="2"/>
    </row>
    <row r="3" spans="1:7">
      <c r="A3" s="321" t="str">
        <f>PROPOSTA_GLOBAL!A4</f>
        <v>SUPERINTENDÊNCIA REGIONAL DA POLÍCIA FEDERAL NO PARANÁ</v>
      </c>
      <c r="B3" s="321"/>
      <c r="C3" s="321"/>
      <c r="D3" s="321"/>
      <c r="E3" s="321"/>
      <c r="F3" s="2"/>
      <c r="G3" s="125"/>
    </row>
    <row r="4" spans="1:7">
      <c r="A4" s="321" t="str">
        <f>PROPOSTA_GLOBAL!A5</f>
        <v>PROCESSO ADMINISTRATIVO SEI Nº 08385.000837/2025-50</v>
      </c>
      <c r="B4" s="321"/>
      <c r="C4" s="321"/>
      <c r="D4" s="321"/>
      <c r="E4" s="321"/>
      <c r="F4" s="2"/>
      <c r="G4" s="125"/>
    </row>
    <row r="5" spans="1:7" ht="27" customHeight="1">
      <c r="A5" s="2"/>
      <c r="B5" s="2"/>
      <c r="C5" s="2"/>
      <c r="D5" s="2"/>
      <c r="E5" s="2"/>
      <c r="F5" s="2"/>
      <c r="G5" s="2"/>
    </row>
    <row r="6" spans="1:7" ht="14.4" customHeight="1">
      <c r="A6" s="351"/>
      <c r="B6" s="351"/>
      <c r="C6" s="351"/>
      <c r="D6" s="351"/>
      <c r="E6" s="351"/>
      <c r="F6" s="351"/>
      <c r="G6" s="351"/>
    </row>
    <row r="7" spans="1:7" ht="14.25" customHeight="1">
      <c r="A7" s="3"/>
      <c r="B7" s="3"/>
      <c r="C7" s="3"/>
      <c r="D7" s="3"/>
      <c r="E7" s="36"/>
      <c r="F7" s="36"/>
      <c r="G7" s="36"/>
    </row>
    <row r="8" spans="1:7">
      <c r="A8" s="37">
        <v>1</v>
      </c>
      <c r="B8" s="394" t="s">
        <v>102</v>
      </c>
      <c r="C8" s="394"/>
      <c r="D8" s="77"/>
      <c r="E8" s="65" t="s">
        <v>103</v>
      </c>
      <c r="F8" s="65" t="s">
        <v>103</v>
      </c>
      <c r="G8" s="65" t="s">
        <v>103</v>
      </c>
    </row>
    <row r="9" spans="1:7">
      <c r="A9" s="37">
        <v>2</v>
      </c>
      <c r="B9" s="394" t="s">
        <v>108</v>
      </c>
      <c r="C9" s="394"/>
      <c r="D9" s="77"/>
      <c r="E9" s="76" t="s">
        <v>217</v>
      </c>
      <c r="F9" s="76" t="s">
        <v>217</v>
      </c>
      <c r="G9" s="76" t="s">
        <v>218</v>
      </c>
    </row>
    <row r="10" spans="1:7">
      <c r="A10" s="37">
        <v>3</v>
      </c>
      <c r="B10" s="394" t="s">
        <v>106</v>
      </c>
      <c r="C10" s="394"/>
      <c r="D10" s="77"/>
      <c r="E10" s="89" t="str">
        <f>DADOS_BASICOS!C13</f>
        <v>Servente de limpeza</v>
      </c>
      <c r="F10" s="89" t="str">
        <f>DADOS_BASICOS!C13</f>
        <v>Servente de limpeza</v>
      </c>
      <c r="G10" s="89" t="str">
        <f>DADOS_BASICOS!C13</f>
        <v>Servente de limpeza</v>
      </c>
    </row>
    <row r="11" spans="1:7">
      <c r="A11" s="37">
        <v>4</v>
      </c>
      <c r="B11" s="394" t="s">
        <v>116</v>
      </c>
      <c r="C11" s="394"/>
      <c r="D11" s="77"/>
      <c r="E11" s="76" t="s">
        <v>115</v>
      </c>
      <c r="F11" s="76" t="s">
        <v>114</v>
      </c>
      <c r="G11" s="76" t="s">
        <v>114</v>
      </c>
    </row>
    <row r="12" spans="1:7">
      <c r="A12" s="37">
        <v>5</v>
      </c>
      <c r="B12" s="394" t="s">
        <v>104</v>
      </c>
      <c r="C12" s="394"/>
      <c r="D12" s="77"/>
      <c r="E12" s="78" t="str">
        <f>DADOS_BASICOS!C14</f>
        <v>5143-20</v>
      </c>
      <c r="F12" s="78" t="str">
        <f>DADOS_BASICOS!C14</f>
        <v>5143-20</v>
      </c>
      <c r="G12" s="78" t="str">
        <f>DADOS_BASICOS!C14</f>
        <v>5143-20</v>
      </c>
    </row>
    <row r="13" spans="1:7">
      <c r="A13" s="37">
        <v>6</v>
      </c>
      <c r="B13" s="394" t="s">
        <v>105</v>
      </c>
      <c r="C13" s="394"/>
      <c r="D13" s="77"/>
      <c r="E13" s="267">
        <f>DADOS_BASICOS!C17</f>
        <v>1764</v>
      </c>
      <c r="F13" s="267">
        <f>DADOS_BASICOS!C17</f>
        <v>1764</v>
      </c>
      <c r="G13" s="267">
        <f>DADOS_BASICOS!C17</f>
        <v>1764</v>
      </c>
    </row>
    <row r="14" spans="1:7">
      <c r="A14" s="37">
        <v>7</v>
      </c>
      <c r="B14" s="388" t="s">
        <v>107</v>
      </c>
      <c r="C14" s="389"/>
      <c r="D14" s="77"/>
      <c r="E14" s="290">
        <f>DADOS_BASICOS!C16</f>
        <v>45689</v>
      </c>
      <c r="F14" s="290">
        <f>DADOS_BASICOS!C16</f>
        <v>45689</v>
      </c>
      <c r="G14" s="290">
        <f>DADOS_BASICOS!C16</f>
        <v>45689</v>
      </c>
    </row>
    <row r="15" spans="1:7">
      <c r="A15" s="37">
        <v>8</v>
      </c>
      <c r="B15" s="394" t="s">
        <v>82</v>
      </c>
      <c r="C15" s="394"/>
      <c r="D15" s="77"/>
      <c r="E15" s="94">
        <f>DADOS_BASICOS!C18</f>
        <v>40</v>
      </c>
      <c r="F15" s="94">
        <f>DADOS_BASICOS!C18</f>
        <v>40</v>
      </c>
      <c r="G15" s="94">
        <f>DADOS_BASICOS!C18</f>
        <v>40</v>
      </c>
    </row>
    <row r="16" spans="1:7">
      <c r="A16" s="37">
        <v>9</v>
      </c>
      <c r="B16" s="394" t="s">
        <v>112</v>
      </c>
      <c r="C16" s="394"/>
      <c r="D16" s="77"/>
      <c r="E16" s="76" t="str">
        <f>DADOS_BASICOS!C15</f>
        <v>PR000074/2025</v>
      </c>
      <c r="F16" s="76" t="str">
        <f>DADOS_BASICOS!C15</f>
        <v>PR000074/2025</v>
      </c>
      <c r="G16" s="76" t="str">
        <f>DADOS_BASICOS!C15</f>
        <v>PR000074/2025</v>
      </c>
    </row>
    <row r="17" spans="1:7" ht="15.75" customHeight="1">
      <c r="A17" s="37">
        <v>10</v>
      </c>
      <c r="B17" s="394" t="s">
        <v>113</v>
      </c>
      <c r="C17" s="394"/>
      <c r="D17" s="77"/>
      <c r="E17" s="76" t="s">
        <v>114</v>
      </c>
      <c r="F17" s="76" t="s">
        <v>114</v>
      </c>
      <c r="G17" s="76" t="s">
        <v>114</v>
      </c>
    </row>
    <row r="18" spans="1:7" ht="15.75" customHeight="1">
      <c r="A18" s="37">
        <v>11</v>
      </c>
      <c r="B18" s="394" t="s">
        <v>117</v>
      </c>
      <c r="C18" s="394"/>
      <c r="D18" s="77"/>
      <c r="E18" s="94">
        <f>PRODUTIVIDADE!K87-1</f>
        <v>5</v>
      </c>
      <c r="F18" s="94">
        <v>1</v>
      </c>
      <c r="G18" s="182">
        <f>PRODUTIVIDADE!K113</f>
        <v>1</v>
      </c>
    </row>
    <row r="19" spans="1:7" ht="15.75" customHeight="1">
      <c r="A19" s="4"/>
      <c r="B19" s="4"/>
      <c r="C19" s="4"/>
      <c r="D19" s="4"/>
      <c r="E19" s="4"/>
      <c r="F19" s="4"/>
      <c r="G19" s="4"/>
    </row>
    <row r="20" spans="1:7">
      <c r="A20" s="351" t="s">
        <v>118</v>
      </c>
      <c r="B20" s="351"/>
      <c r="C20" s="351"/>
      <c r="D20" s="351"/>
      <c r="E20" s="351"/>
      <c r="F20" s="351"/>
      <c r="G20" s="351"/>
    </row>
    <row r="21" spans="1:7">
      <c r="A21" s="4"/>
      <c r="B21" s="4"/>
      <c r="C21" s="4"/>
      <c r="D21" s="4"/>
      <c r="E21" s="4"/>
      <c r="F21" s="4"/>
      <c r="G21" s="4"/>
    </row>
    <row r="22" spans="1:7">
      <c r="A22" s="41">
        <v>1</v>
      </c>
      <c r="B22" s="373" t="s">
        <v>119</v>
      </c>
      <c r="C22" s="374"/>
      <c r="D22" s="66"/>
      <c r="E22" s="38" t="s">
        <v>120</v>
      </c>
      <c r="F22" s="38" t="s">
        <v>120</v>
      </c>
      <c r="G22" s="38" t="s">
        <v>120</v>
      </c>
    </row>
    <row r="23" spans="1:7" ht="15.6" customHeight="1">
      <c r="A23" s="43" t="s">
        <v>121</v>
      </c>
      <c r="B23" s="390" t="s">
        <v>563</v>
      </c>
      <c r="C23" s="391"/>
      <c r="D23" s="67"/>
      <c r="E23" s="45">
        <f>DADOS_BASICOS!C19</f>
        <v>1764</v>
      </c>
      <c r="F23" s="45">
        <f>DADOS_BASICOS!C19</f>
        <v>1764</v>
      </c>
      <c r="G23" s="45">
        <f>DADOS_BASICOS!C19</f>
        <v>1764</v>
      </c>
    </row>
    <row r="24" spans="1:7" ht="15.6" customHeight="1">
      <c r="A24" s="43" t="s">
        <v>122</v>
      </c>
      <c r="B24" s="392" t="s">
        <v>123</v>
      </c>
      <c r="C24" s="393"/>
      <c r="D24" s="68"/>
      <c r="E24" s="44">
        <f>IF(E17="SIM",(E23*0.3),0)</f>
        <v>529.19999999999993</v>
      </c>
      <c r="F24" s="44">
        <f>IF(F17="SIM",(F23*0.3),0)</f>
        <v>529.19999999999993</v>
      </c>
      <c r="G24" s="44">
        <f>IF(G17="SIM",(G23*0.3),0)</f>
        <v>529.19999999999993</v>
      </c>
    </row>
    <row r="25" spans="1:7">
      <c r="A25" s="43" t="s">
        <v>124</v>
      </c>
      <c r="B25" s="371" t="s">
        <v>125</v>
      </c>
      <c r="C25" s="372"/>
      <c r="D25" s="69"/>
      <c r="E25" s="44">
        <v>0</v>
      </c>
      <c r="F25" s="44">
        <v>0</v>
      </c>
      <c r="G25" s="44">
        <v>0</v>
      </c>
    </row>
    <row r="26" spans="1:7">
      <c r="A26" s="43" t="s">
        <v>126</v>
      </c>
      <c r="B26" s="388" t="s">
        <v>127</v>
      </c>
      <c r="C26" s="389"/>
      <c r="D26" s="70"/>
      <c r="E26" s="44">
        <v>0</v>
      </c>
      <c r="F26" s="44">
        <v>0</v>
      </c>
      <c r="G26" s="44">
        <v>0</v>
      </c>
    </row>
    <row r="27" spans="1:7">
      <c r="A27" s="43" t="s">
        <v>128</v>
      </c>
      <c r="B27" s="388" t="s">
        <v>129</v>
      </c>
      <c r="C27" s="389"/>
      <c r="D27" s="70"/>
      <c r="E27" s="44">
        <v>0</v>
      </c>
      <c r="F27" s="44">
        <v>0</v>
      </c>
      <c r="G27" s="44">
        <v>0</v>
      </c>
    </row>
    <row r="28" spans="1:7">
      <c r="A28" s="43" t="s">
        <v>130</v>
      </c>
      <c r="B28" s="392" t="s">
        <v>131</v>
      </c>
      <c r="C28" s="393"/>
      <c r="D28" s="68"/>
      <c r="E28" s="266">
        <v>0</v>
      </c>
      <c r="F28" s="266">
        <v>0</v>
      </c>
      <c r="G28" s="266">
        <v>0</v>
      </c>
    </row>
    <row r="29" spans="1:7">
      <c r="A29" s="43" t="s">
        <v>132</v>
      </c>
      <c r="B29" s="392" t="s">
        <v>133</v>
      </c>
      <c r="C29" s="393"/>
      <c r="D29" s="68"/>
      <c r="E29" s="266">
        <f>IF(E11="SIM",DADOS_BASICOS!C20,0)</f>
        <v>0</v>
      </c>
      <c r="F29" s="266">
        <f>IF(F11="SIM",DADOS_BASICOS!C20,0)</f>
        <v>122</v>
      </c>
      <c r="G29" s="266">
        <f>IF(G11="SIM",DADOS_BASICOS!C20,0)</f>
        <v>122</v>
      </c>
    </row>
    <row r="30" spans="1:7">
      <c r="A30" s="43" t="s">
        <v>134</v>
      </c>
      <c r="B30" s="392" t="s">
        <v>135</v>
      </c>
      <c r="C30" s="393"/>
      <c r="D30" s="68"/>
      <c r="E30" s="266">
        <v>0</v>
      </c>
      <c r="F30" s="266">
        <v>0</v>
      </c>
      <c r="G30" s="266">
        <v>0</v>
      </c>
    </row>
    <row r="31" spans="1:7">
      <c r="A31" s="376" t="s">
        <v>136</v>
      </c>
      <c r="B31" s="377"/>
      <c r="C31" s="378"/>
      <c r="D31" s="71"/>
      <c r="E31" s="46">
        <f>SUM(E23:E30)</f>
        <v>2293.1999999999998</v>
      </c>
      <c r="F31" s="46">
        <f>SUM(F23:F30)</f>
        <v>2415.1999999999998</v>
      </c>
      <c r="G31" s="46">
        <f>SUM(G23:G30)</f>
        <v>2415.1999999999998</v>
      </c>
    </row>
    <row r="32" spans="1:7">
      <c r="A32" s="4"/>
      <c r="B32" s="4"/>
      <c r="C32" s="4"/>
      <c r="D32" s="4"/>
      <c r="E32" s="4"/>
      <c r="F32" s="4"/>
      <c r="G32" s="4"/>
    </row>
    <row r="33" spans="1:7">
      <c r="A33" s="351" t="s">
        <v>137</v>
      </c>
      <c r="B33" s="351"/>
      <c r="C33" s="351"/>
      <c r="D33" s="351"/>
      <c r="E33" s="351"/>
      <c r="F33" s="351"/>
      <c r="G33" s="351"/>
    </row>
    <row r="34" spans="1:7">
      <c r="A34" s="8"/>
      <c r="B34" s="4"/>
      <c r="C34" s="4"/>
      <c r="D34" s="4"/>
      <c r="E34" s="4"/>
      <c r="F34" s="4"/>
      <c r="G34" s="4"/>
    </row>
    <row r="35" spans="1:7">
      <c r="A35" s="395" t="s">
        <v>42</v>
      </c>
      <c r="B35" s="395"/>
      <c r="C35" s="395"/>
      <c r="D35" s="395"/>
      <c r="E35" s="395"/>
      <c r="F35" s="395"/>
      <c r="G35" s="395"/>
    </row>
    <row r="36" spans="1:7" ht="15.75" customHeight="1">
      <c r="A36" s="41" t="s">
        <v>138</v>
      </c>
      <c r="B36" s="41" t="s">
        <v>139</v>
      </c>
      <c r="C36" s="41" t="s">
        <v>140</v>
      </c>
      <c r="D36" s="41"/>
      <c r="E36" s="41" t="s">
        <v>120</v>
      </c>
      <c r="F36" s="41" t="s">
        <v>120</v>
      </c>
      <c r="G36" s="41" t="s">
        <v>120</v>
      </c>
    </row>
    <row r="37" spans="1:7">
      <c r="A37" s="43" t="s">
        <v>121</v>
      </c>
      <c r="B37" s="5" t="s">
        <v>141</v>
      </c>
      <c r="C37" s="18">
        <f>1/12</f>
        <v>8.3333333333333329E-2</v>
      </c>
      <c r="D37" s="18"/>
      <c r="E37" s="9">
        <f>E$31*$C$37</f>
        <v>191.09999999999997</v>
      </c>
      <c r="F37" s="9">
        <f>F$31*$C$37</f>
        <v>201.26666666666665</v>
      </c>
      <c r="G37" s="9">
        <f>G$31*$C$37</f>
        <v>201.26666666666665</v>
      </c>
    </row>
    <row r="38" spans="1:7" ht="15.75" customHeight="1">
      <c r="A38" s="43" t="s">
        <v>122</v>
      </c>
      <c r="B38" s="5" t="s">
        <v>142</v>
      </c>
      <c r="C38" s="47">
        <v>0.121</v>
      </c>
      <c r="D38" s="47"/>
      <c r="E38" s="9">
        <f>E$31*$C$38</f>
        <v>277.47719999999998</v>
      </c>
      <c r="F38" s="9">
        <f>F$31*$C$38</f>
        <v>292.23919999999998</v>
      </c>
      <c r="G38" s="9">
        <f>G$31*$C$38</f>
        <v>292.23919999999998</v>
      </c>
    </row>
    <row r="39" spans="1:7">
      <c r="A39" s="379" t="s">
        <v>143</v>
      </c>
      <c r="B39" s="379"/>
      <c r="C39" s="43"/>
      <c r="D39" s="43"/>
      <c r="E39" s="29">
        <f>SUM(E37:E38)</f>
        <v>468.57719999999995</v>
      </c>
      <c r="F39" s="29">
        <f>SUM(F37:F38)</f>
        <v>493.50586666666663</v>
      </c>
      <c r="G39" s="29">
        <f>SUM(G37:G38)</f>
        <v>493.50586666666663</v>
      </c>
    </row>
    <row r="40" spans="1:7">
      <c r="A40" s="4"/>
      <c r="B40" s="4"/>
      <c r="C40" s="4"/>
      <c r="D40" s="4"/>
      <c r="E40" s="4"/>
      <c r="F40" s="4"/>
      <c r="G40" s="4"/>
    </row>
    <row r="41" spans="1:7" ht="15.75" customHeight="1">
      <c r="A41" s="396" t="s">
        <v>43</v>
      </c>
      <c r="B41" s="396"/>
      <c r="C41" s="396"/>
      <c r="D41" s="396"/>
      <c r="E41" s="396"/>
      <c r="F41" s="396"/>
      <c r="G41" s="396"/>
    </row>
    <row r="42" spans="1:7" ht="15.75" customHeight="1">
      <c r="A42" s="375" t="s">
        <v>144</v>
      </c>
      <c r="B42" s="375"/>
      <c r="C42" s="375"/>
      <c r="D42" s="10"/>
      <c r="E42" s="10">
        <f>E31+E39</f>
        <v>2761.7771999999995</v>
      </c>
      <c r="F42" s="10">
        <f>F31+F39</f>
        <v>2908.7058666666662</v>
      </c>
      <c r="G42" s="10">
        <f>G31+G39</f>
        <v>2908.7058666666662</v>
      </c>
    </row>
    <row r="43" spans="1:7" ht="32.25" customHeight="1">
      <c r="A43" s="41" t="s">
        <v>145</v>
      </c>
      <c r="B43" s="41" t="s">
        <v>146</v>
      </c>
      <c r="C43" s="41" t="s">
        <v>140</v>
      </c>
      <c r="D43" s="41"/>
      <c r="E43" s="41" t="s">
        <v>120</v>
      </c>
      <c r="F43" s="41" t="s">
        <v>120</v>
      </c>
      <c r="G43" s="41" t="s">
        <v>120</v>
      </c>
    </row>
    <row r="44" spans="1:7">
      <c r="A44" s="43" t="s">
        <v>121</v>
      </c>
      <c r="B44" s="5" t="s">
        <v>147</v>
      </c>
      <c r="C44" s="27">
        <v>0.2</v>
      </c>
      <c r="D44" s="27"/>
      <c r="E44" s="28">
        <f>E$42*$C$44</f>
        <v>552.35543999999993</v>
      </c>
      <c r="F44" s="28">
        <f>F$42*$C$44</f>
        <v>581.74117333333322</v>
      </c>
      <c r="G44" s="28">
        <f>G$42*$C$44</f>
        <v>581.74117333333322</v>
      </c>
    </row>
    <row r="45" spans="1:7">
      <c r="A45" s="43" t="s">
        <v>122</v>
      </c>
      <c r="B45" s="5" t="s">
        <v>148</v>
      </c>
      <c r="C45" s="11">
        <v>2.5000000000000001E-2</v>
      </c>
      <c r="D45" s="11"/>
      <c r="E45" s="28">
        <f>E$42*$C$45</f>
        <v>69.044429999999991</v>
      </c>
      <c r="F45" s="28">
        <f>F$42*$C$45</f>
        <v>72.717646666666653</v>
      </c>
      <c r="G45" s="28">
        <f>G$42*$C$45</f>
        <v>72.717646666666653</v>
      </c>
    </row>
    <row r="46" spans="1:7">
      <c r="A46" s="43" t="s">
        <v>124</v>
      </c>
      <c r="B46" s="6" t="s">
        <v>149</v>
      </c>
      <c r="C46" s="47">
        <v>0.03</v>
      </c>
      <c r="D46" s="47"/>
      <c r="E46" s="28">
        <f>E$42*$C$46</f>
        <v>82.853315999999978</v>
      </c>
      <c r="F46" s="28">
        <f>F$42*$C$46</f>
        <v>87.261175999999978</v>
      </c>
      <c r="G46" s="28">
        <f>G$42*$C$46</f>
        <v>87.261175999999978</v>
      </c>
    </row>
    <row r="47" spans="1:7">
      <c r="A47" s="43" t="s">
        <v>126</v>
      </c>
      <c r="B47" s="5" t="s">
        <v>150</v>
      </c>
      <c r="C47" s="11">
        <v>1.4999999999999999E-2</v>
      </c>
      <c r="D47" s="11"/>
      <c r="E47" s="28">
        <f>E$42*$C$47</f>
        <v>41.426657999999989</v>
      </c>
      <c r="F47" s="28">
        <f>F$42*$C$47</f>
        <v>43.630587999999989</v>
      </c>
      <c r="G47" s="28">
        <f>G$42*$C$47</f>
        <v>43.630587999999989</v>
      </c>
    </row>
    <row r="48" spans="1:7">
      <c r="A48" s="43" t="s">
        <v>128</v>
      </c>
      <c r="B48" s="5" t="s">
        <v>151</v>
      </c>
      <c r="C48" s="11">
        <v>0.01</v>
      </c>
      <c r="D48" s="11"/>
      <c r="E48" s="28">
        <f>E$42*$C$48</f>
        <v>27.617771999999995</v>
      </c>
      <c r="F48" s="28">
        <f>F$42*$C$48</f>
        <v>29.087058666666664</v>
      </c>
      <c r="G48" s="28">
        <f>G$42*$C$48</f>
        <v>29.087058666666664</v>
      </c>
    </row>
    <row r="49" spans="1:7">
      <c r="A49" s="43" t="s">
        <v>130</v>
      </c>
      <c r="B49" s="5" t="s">
        <v>152</v>
      </c>
      <c r="C49" s="11">
        <v>6.0000000000000001E-3</v>
      </c>
      <c r="D49" s="11"/>
      <c r="E49" s="28">
        <f>E$42*$C$49</f>
        <v>16.570663199999998</v>
      </c>
      <c r="F49" s="28">
        <f>F$42*$C$49</f>
        <v>17.452235199999997</v>
      </c>
      <c r="G49" s="28">
        <f>G$42*$C$49</f>
        <v>17.452235199999997</v>
      </c>
    </row>
    <row r="50" spans="1:7">
      <c r="A50" s="43" t="s">
        <v>132</v>
      </c>
      <c r="B50" s="5" t="s">
        <v>153</v>
      </c>
      <c r="C50" s="11">
        <v>2E-3</v>
      </c>
      <c r="D50" s="11"/>
      <c r="E50" s="28">
        <f>E$42*$C$50</f>
        <v>5.5235543999999992</v>
      </c>
      <c r="F50" s="28">
        <f>F$42*$C$50</f>
        <v>5.8174117333333326</v>
      </c>
      <c r="G50" s="28">
        <f>G$42*$C$50</f>
        <v>5.8174117333333326</v>
      </c>
    </row>
    <row r="51" spans="1:7">
      <c r="A51" s="43" t="s">
        <v>134</v>
      </c>
      <c r="B51" s="5" t="s">
        <v>154</v>
      </c>
      <c r="C51" s="11">
        <v>0.08</v>
      </c>
      <c r="D51" s="11"/>
      <c r="E51" s="28">
        <f>E$42*$C$51</f>
        <v>220.94217599999996</v>
      </c>
      <c r="F51" s="28">
        <f>F$42*$C$51</f>
        <v>232.69646933333331</v>
      </c>
      <c r="G51" s="28">
        <f>G$42*$C$51</f>
        <v>232.69646933333331</v>
      </c>
    </row>
    <row r="52" spans="1:7">
      <c r="A52" s="379" t="s">
        <v>155</v>
      </c>
      <c r="B52" s="379"/>
      <c r="C52" s="13">
        <f>SUM(C44:C51)</f>
        <v>0.36800000000000005</v>
      </c>
      <c r="D52" s="13"/>
      <c r="E52" s="29">
        <f>SUM(E44:E51)</f>
        <v>1016.3340095999997</v>
      </c>
      <c r="F52" s="29">
        <f>SUM(F44:F51)</f>
        <v>1070.4037589333329</v>
      </c>
      <c r="G52" s="29">
        <f t="shared" ref="G52" si="0">SUM(G44:G51)</f>
        <v>1070.4037589333329</v>
      </c>
    </row>
    <row r="53" spans="1:7" ht="33.75" customHeight="1">
      <c r="A53" s="14"/>
      <c r="B53" s="14"/>
      <c r="C53" s="14"/>
      <c r="D53" s="14"/>
      <c r="E53" s="14"/>
      <c r="F53" s="14"/>
      <c r="G53" s="14"/>
    </row>
    <row r="54" spans="1:7">
      <c r="A54" s="343" t="s">
        <v>44</v>
      </c>
      <c r="B54" s="343"/>
      <c r="C54" s="343"/>
      <c r="D54" s="343"/>
      <c r="E54" s="343"/>
      <c r="F54" s="343"/>
      <c r="G54" s="343"/>
    </row>
    <row r="55" spans="1:7">
      <c r="A55" s="41" t="s">
        <v>156</v>
      </c>
      <c r="B55" s="373" t="s">
        <v>157</v>
      </c>
      <c r="C55" s="374"/>
      <c r="D55" s="41"/>
      <c r="E55" s="41" t="s">
        <v>120</v>
      </c>
      <c r="F55" s="41" t="s">
        <v>120</v>
      </c>
      <c r="G55" s="41" t="s">
        <v>120</v>
      </c>
    </row>
    <row r="56" spans="1:7">
      <c r="A56" s="25" t="s">
        <v>121</v>
      </c>
      <c r="B56" s="390" t="s">
        <v>158</v>
      </c>
      <c r="C56" s="391"/>
      <c r="D56" s="50"/>
      <c r="E56" s="64">
        <f>DADOS_BASICOS!$E$33-(LONDRINA!E$23*DADOS_BASICOS!$F$33)</f>
        <v>147.16000000000003</v>
      </c>
      <c r="F56" s="64">
        <f>DADOS_BASICOS!$E$33-(LONDRINA!F$23*DADOS_BASICOS!$F$33)</f>
        <v>147.16000000000003</v>
      </c>
      <c r="G56" s="64">
        <f>DADOS_BASICOS!$E$33-(LONDRINA!G$23*DADOS_BASICOS!$F$33)</f>
        <v>147.16000000000003</v>
      </c>
    </row>
    <row r="57" spans="1:7">
      <c r="A57" s="15" t="s">
        <v>122</v>
      </c>
      <c r="B57" s="390" t="s">
        <v>159</v>
      </c>
      <c r="C57" s="391">
        <f>DADOS_BASICOS!C22</f>
        <v>805</v>
      </c>
      <c r="D57" s="48"/>
      <c r="E57" s="32">
        <f>DADOS_BASICOS!C22-DADOS_BASICOS!C23</f>
        <v>644</v>
      </c>
      <c r="F57" s="32">
        <f>DADOS_BASICOS!C22-DADOS_BASICOS!C23</f>
        <v>644</v>
      </c>
      <c r="G57" s="32">
        <f>DADOS_BASICOS!C22-DADOS_BASICOS!C23</f>
        <v>644</v>
      </c>
    </row>
    <row r="58" spans="1:7">
      <c r="A58" s="15" t="s">
        <v>124</v>
      </c>
      <c r="B58" s="390" t="s">
        <v>94</v>
      </c>
      <c r="C58" s="391">
        <f>DADOS_BASICOS!C26</f>
        <v>28</v>
      </c>
      <c r="D58" s="48"/>
      <c r="E58" s="32">
        <f>$C$58</f>
        <v>28</v>
      </c>
      <c r="F58" s="32">
        <f>$C$58</f>
        <v>28</v>
      </c>
      <c r="G58" s="32">
        <f>$C$58</f>
        <v>28</v>
      </c>
    </row>
    <row r="59" spans="1:7">
      <c r="A59" s="15" t="s">
        <v>126</v>
      </c>
      <c r="B59" s="390" t="s">
        <v>92</v>
      </c>
      <c r="C59" s="391">
        <f>DADOS_BASICOS!C25</f>
        <v>87.5</v>
      </c>
      <c r="D59" s="48"/>
      <c r="E59" s="32">
        <f>$C$59</f>
        <v>87.5</v>
      </c>
      <c r="F59" s="32">
        <f>$C$59</f>
        <v>87.5</v>
      </c>
      <c r="G59" s="32">
        <f>$C$59</f>
        <v>87.5</v>
      </c>
    </row>
    <row r="60" spans="1:7">
      <c r="A60" s="15" t="s">
        <v>128</v>
      </c>
      <c r="B60" s="390" t="s">
        <v>160</v>
      </c>
      <c r="C60" s="391"/>
      <c r="D60" s="39"/>
      <c r="E60" s="32">
        <v>0</v>
      </c>
      <c r="F60" s="32">
        <v>0</v>
      </c>
      <c r="G60" s="32">
        <v>0</v>
      </c>
    </row>
    <row r="61" spans="1:7">
      <c r="A61" s="15" t="s">
        <v>130</v>
      </c>
      <c r="B61" s="390" t="s">
        <v>161</v>
      </c>
      <c r="C61" s="391"/>
      <c r="D61" s="42"/>
      <c r="E61" s="33">
        <v>0</v>
      </c>
      <c r="F61" s="33">
        <v>0</v>
      </c>
      <c r="G61" s="33">
        <v>0</v>
      </c>
    </row>
    <row r="62" spans="1:7">
      <c r="A62" s="379" t="s">
        <v>136</v>
      </c>
      <c r="B62" s="379"/>
      <c r="C62" s="379"/>
      <c r="D62" s="37"/>
      <c r="E62" s="126">
        <f>SUM(E56:E61)</f>
        <v>906.66000000000008</v>
      </c>
      <c r="F62" s="126">
        <f>SUM(F56:F61)</f>
        <v>906.66000000000008</v>
      </c>
      <c r="G62" s="126">
        <f>SUM(G56:G61)</f>
        <v>906.66000000000008</v>
      </c>
    </row>
    <row r="63" spans="1:7" ht="24.75" customHeight="1">
      <c r="A63" s="4"/>
      <c r="B63" s="4"/>
      <c r="C63" s="4"/>
      <c r="D63" s="4"/>
      <c r="E63" s="4"/>
      <c r="F63" s="4"/>
      <c r="G63" s="4"/>
    </row>
    <row r="64" spans="1:7" ht="28.5" customHeight="1">
      <c r="A64" s="343" t="s">
        <v>162</v>
      </c>
      <c r="B64" s="343"/>
      <c r="C64" s="343"/>
      <c r="D64" s="343"/>
      <c r="E64" s="343"/>
      <c r="F64" s="343"/>
      <c r="G64" s="343"/>
    </row>
    <row r="65" spans="1:7" ht="15" customHeight="1">
      <c r="A65" s="4"/>
      <c r="B65" s="4"/>
      <c r="C65" s="4"/>
      <c r="D65" s="4"/>
      <c r="E65" s="4"/>
      <c r="F65" s="4"/>
      <c r="G65" s="4"/>
    </row>
    <row r="66" spans="1:7">
      <c r="A66" s="41">
        <v>2</v>
      </c>
      <c r="B66" s="380" t="s">
        <v>163</v>
      </c>
      <c r="C66" s="380"/>
      <c r="D66" s="83"/>
      <c r="E66" s="41" t="s">
        <v>120</v>
      </c>
      <c r="F66" s="41" t="s">
        <v>120</v>
      </c>
      <c r="G66" s="41" t="s">
        <v>120</v>
      </c>
    </row>
    <row r="67" spans="1:7">
      <c r="A67" s="43" t="s">
        <v>138</v>
      </c>
      <c r="B67" s="383" t="s">
        <v>139</v>
      </c>
      <c r="C67" s="383"/>
      <c r="D67" s="35"/>
      <c r="E67" s="84">
        <f>E39</f>
        <v>468.57719999999995</v>
      </c>
      <c r="F67" s="84">
        <f>F39</f>
        <v>493.50586666666663</v>
      </c>
      <c r="G67" s="84">
        <f>G39</f>
        <v>493.50586666666663</v>
      </c>
    </row>
    <row r="68" spans="1:7">
      <c r="A68" s="43" t="s">
        <v>145</v>
      </c>
      <c r="B68" s="383" t="s">
        <v>146</v>
      </c>
      <c r="C68" s="383"/>
      <c r="D68" s="35"/>
      <c r="E68" s="85">
        <f>E52</f>
        <v>1016.3340095999997</v>
      </c>
      <c r="F68" s="85">
        <f>F52</f>
        <v>1070.4037589333329</v>
      </c>
      <c r="G68" s="85">
        <f>G52</f>
        <v>1070.4037589333329</v>
      </c>
    </row>
    <row r="69" spans="1:7">
      <c r="A69" s="43" t="s">
        <v>156</v>
      </c>
      <c r="B69" s="383" t="s">
        <v>157</v>
      </c>
      <c r="C69" s="383"/>
      <c r="D69" s="35"/>
      <c r="E69" s="85">
        <f>E62</f>
        <v>906.66000000000008</v>
      </c>
      <c r="F69" s="85">
        <f>F62</f>
        <v>906.66000000000008</v>
      </c>
      <c r="G69" s="85">
        <f>G62</f>
        <v>906.66000000000008</v>
      </c>
    </row>
    <row r="70" spans="1:7" ht="15.75" customHeight="1">
      <c r="A70" s="379" t="s">
        <v>136</v>
      </c>
      <c r="B70" s="379"/>
      <c r="C70" s="379"/>
      <c r="D70" s="35"/>
      <c r="E70" s="86">
        <f>SUM(E67:E69)</f>
        <v>2391.5712095999997</v>
      </c>
      <c r="F70" s="86">
        <f>SUM(F67:F69)</f>
        <v>2470.5696255999997</v>
      </c>
      <c r="G70" s="86">
        <f>SUM(G67:G69)</f>
        <v>2470.5696255999997</v>
      </c>
    </row>
    <row r="71" spans="1:7" ht="18" customHeight="1">
      <c r="A71" s="4"/>
      <c r="B71" s="4"/>
      <c r="C71" s="4"/>
      <c r="D71" s="4"/>
      <c r="E71" s="4"/>
      <c r="F71" s="4"/>
      <c r="G71" s="4"/>
    </row>
    <row r="72" spans="1:7" ht="18.75" customHeight="1">
      <c r="A72" s="351" t="s">
        <v>45</v>
      </c>
      <c r="B72" s="351"/>
      <c r="C72" s="351"/>
      <c r="D72" s="351"/>
      <c r="E72" s="351"/>
      <c r="F72" s="351"/>
      <c r="G72" s="351"/>
    </row>
    <row r="73" spans="1:7">
      <c r="A73" s="381" t="s">
        <v>164</v>
      </c>
      <c r="B73" s="381"/>
      <c r="C73" s="381"/>
      <c r="D73" s="16"/>
      <c r="E73" s="16">
        <f>E31+E70-SUM(E44:E50)</f>
        <v>3889.3793759999999</v>
      </c>
      <c r="F73" s="16">
        <f>F31+F70-SUM(F44:F50)</f>
        <v>4048.062336</v>
      </c>
      <c r="G73" s="16">
        <f>G31+G70-SUM(G44:G50)</f>
        <v>4048.062336</v>
      </c>
    </row>
    <row r="74" spans="1:7">
      <c r="A74" s="375" t="s">
        <v>165</v>
      </c>
      <c r="B74" s="375"/>
      <c r="C74" s="375"/>
      <c r="D74" s="16"/>
      <c r="E74" s="16">
        <f>E31+E70</f>
        <v>4684.7712095999996</v>
      </c>
      <c r="F74" s="16">
        <f>F31+F70</f>
        <v>4885.7696255999999</v>
      </c>
      <c r="G74" s="16">
        <f>G31+G70</f>
        <v>4885.7696255999999</v>
      </c>
    </row>
    <row r="75" spans="1:7">
      <c r="A75" s="41">
        <v>3</v>
      </c>
      <c r="B75" s="41" t="s">
        <v>166</v>
      </c>
      <c r="C75" s="41" t="s">
        <v>167</v>
      </c>
      <c r="D75" s="41"/>
      <c r="E75" s="41" t="s">
        <v>120</v>
      </c>
      <c r="F75" s="41" t="s">
        <v>120</v>
      </c>
      <c r="G75" s="41" t="s">
        <v>120</v>
      </c>
    </row>
    <row r="76" spans="1:7">
      <c r="A76" s="43" t="s">
        <v>121</v>
      </c>
      <c r="B76" s="58" t="s">
        <v>168</v>
      </c>
      <c r="C76" s="80">
        <f>(1/12)*5%</f>
        <v>4.1666666666666666E-3</v>
      </c>
      <c r="D76" s="80"/>
      <c r="E76" s="33">
        <f>E73*$C$76</f>
        <v>16.2057474</v>
      </c>
      <c r="F76" s="33">
        <f>F73*$C$76</f>
        <v>16.866926400000001</v>
      </c>
      <c r="G76" s="33">
        <f>G73*$C$76</f>
        <v>16.866926400000001</v>
      </c>
    </row>
    <row r="77" spans="1:7">
      <c r="A77" s="43" t="s">
        <v>122</v>
      </c>
      <c r="B77" s="17" t="s">
        <v>169</v>
      </c>
      <c r="C77" s="34">
        <v>0.08</v>
      </c>
      <c r="D77" s="34"/>
      <c r="E77" s="9">
        <f>E76*$C$77</f>
        <v>1.2964597920000001</v>
      </c>
      <c r="F77" s="9">
        <f>F76*$C$77</f>
        <v>1.3493541120000001</v>
      </c>
      <c r="G77" s="9">
        <f>G76*$C$77</f>
        <v>1.3493541120000001</v>
      </c>
    </row>
    <row r="78" spans="1:7">
      <c r="A78" s="43" t="s">
        <v>124</v>
      </c>
      <c r="B78" s="17" t="s">
        <v>170</v>
      </c>
      <c r="C78" s="18">
        <v>0.02</v>
      </c>
      <c r="D78" s="18"/>
      <c r="E78" s="9">
        <f>$C$78*E76</f>
        <v>0.32411494800000001</v>
      </c>
      <c r="F78" s="9">
        <f>$C$78*F76</f>
        <v>0.33733852800000003</v>
      </c>
      <c r="G78" s="9">
        <f>$C$78*G76</f>
        <v>0.33733852800000003</v>
      </c>
    </row>
    <row r="79" spans="1:7">
      <c r="A79" s="43" t="s">
        <v>126</v>
      </c>
      <c r="B79" s="17" t="s">
        <v>171</v>
      </c>
      <c r="C79" s="80">
        <f>7/30/12</f>
        <v>1.9444444444444445E-2</v>
      </c>
      <c r="D79" s="80"/>
      <c r="E79" s="9">
        <f>E74*$C$79</f>
        <v>91.092773519999994</v>
      </c>
      <c r="F79" s="9">
        <f>F74*$C$79</f>
        <v>95.001076053333335</v>
      </c>
      <c r="G79" s="9">
        <f>G74*$C$79</f>
        <v>95.001076053333335</v>
      </c>
    </row>
    <row r="80" spans="1:7">
      <c r="A80" s="43" t="s">
        <v>128</v>
      </c>
      <c r="B80" s="17" t="s">
        <v>172</v>
      </c>
      <c r="C80" s="34">
        <f>$C$52</f>
        <v>0.36800000000000005</v>
      </c>
      <c r="D80" s="34"/>
      <c r="E80" s="9">
        <f>E79*$C$80</f>
        <v>33.522140655360005</v>
      </c>
      <c r="F80" s="9">
        <f>F79*$C$80</f>
        <v>34.960395987626669</v>
      </c>
      <c r="G80" s="9">
        <f>G79*$C$80</f>
        <v>34.960395987626669</v>
      </c>
    </row>
    <row r="81" spans="1:7">
      <c r="A81" s="43" t="s">
        <v>130</v>
      </c>
      <c r="B81" s="17" t="s">
        <v>173</v>
      </c>
      <c r="C81" s="18">
        <v>0.02</v>
      </c>
      <c r="D81" s="18"/>
      <c r="E81" s="9">
        <f>E79*$C$81</f>
        <v>1.8218554703999998</v>
      </c>
      <c r="F81" s="9">
        <f>F79*$C$81</f>
        <v>1.9000215210666667</v>
      </c>
      <c r="G81" s="9">
        <f>G79*$C$81</f>
        <v>1.9000215210666667</v>
      </c>
    </row>
    <row r="82" spans="1:7">
      <c r="A82" s="379" t="s">
        <v>136</v>
      </c>
      <c r="B82" s="379"/>
      <c r="C82" s="18"/>
      <c r="D82" s="18"/>
      <c r="E82" s="29">
        <f>SUM(E76:E81)</f>
        <v>144.26309178576003</v>
      </c>
      <c r="F82" s="29">
        <f>SUM(F76:F81)</f>
        <v>150.41511260202668</v>
      </c>
      <c r="G82" s="29">
        <f>SUM(G76:G81)</f>
        <v>150.41511260202668</v>
      </c>
    </row>
    <row r="83" spans="1:7" ht="18.75" customHeight="1">
      <c r="A83" s="4"/>
      <c r="B83" s="4"/>
      <c r="C83" s="4"/>
      <c r="D83" s="4"/>
      <c r="E83" s="4"/>
      <c r="F83" s="4"/>
      <c r="G83" s="4"/>
    </row>
    <row r="84" spans="1:7">
      <c r="A84" s="351" t="s">
        <v>46</v>
      </c>
      <c r="B84" s="351"/>
      <c r="C84" s="351"/>
      <c r="D84" s="351"/>
      <c r="E84" s="351"/>
      <c r="F84" s="351"/>
      <c r="G84" s="351"/>
    </row>
    <row r="85" spans="1:7">
      <c r="A85" s="343" t="s">
        <v>47</v>
      </c>
      <c r="B85" s="343"/>
      <c r="C85" s="343"/>
      <c r="D85" s="343"/>
      <c r="E85" s="343"/>
      <c r="F85" s="343"/>
      <c r="G85" s="343"/>
    </row>
    <row r="86" spans="1:7">
      <c r="A86" s="3"/>
      <c r="B86" s="3"/>
      <c r="C86" s="3"/>
      <c r="D86" s="3"/>
      <c r="E86" s="3"/>
      <c r="F86" s="3"/>
      <c r="G86" s="3"/>
    </row>
    <row r="87" spans="1:7">
      <c r="A87" s="375" t="s">
        <v>174</v>
      </c>
      <c r="B87" s="375"/>
      <c r="C87" s="375"/>
      <c r="D87" s="10"/>
      <c r="E87" s="10">
        <f>E31+E70+E82</f>
        <v>4829.03430138576</v>
      </c>
      <c r="F87" s="10">
        <f>F31+F70+F82</f>
        <v>5036.1847382020269</v>
      </c>
      <c r="G87" s="10">
        <f>G31+G70+G82</f>
        <v>5036.1847382020269</v>
      </c>
    </row>
    <row r="88" spans="1:7" ht="12.75" customHeight="1">
      <c r="A88" s="41" t="s">
        <v>175</v>
      </c>
      <c r="B88" s="41" t="s">
        <v>176</v>
      </c>
      <c r="C88" s="41" t="s">
        <v>177</v>
      </c>
      <c r="D88" s="41"/>
      <c r="E88" s="41" t="s">
        <v>120</v>
      </c>
      <c r="F88" s="41" t="s">
        <v>120</v>
      </c>
      <c r="G88" s="41" t="s">
        <v>120</v>
      </c>
    </row>
    <row r="89" spans="1:7" ht="31.5" customHeight="1">
      <c r="A89" s="25" t="s">
        <v>121</v>
      </c>
      <c r="B89" s="59" t="s">
        <v>178</v>
      </c>
      <c r="C89" s="81">
        <f>(1+1/3)/12/12</f>
        <v>9.2592592592592587E-3</v>
      </c>
      <c r="D89" s="81"/>
      <c r="E89" s="60">
        <f>E87*$C$89</f>
        <v>44.713280568386665</v>
      </c>
      <c r="F89" s="60">
        <f>F87*$C$89</f>
        <v>46.631340168537285</v>
      </c>
      <c r="G89" s="60">
        <f t="shared" ref="G89" si="1">G87*$C$89</f>
        <v>46.631340168537285</v>
      </c>
    </row>
    <row r="90" spans="1:7">
      <c r="A90" s="25" t="s">
        <v>122</v>
      </c>
      <c r="B90" s="59" t="s">
        <v>179</v>
      </c>
      <c r="C90" s="82">
        <f>((2/30/12))</f>
        <v>5.5555555555555558E-3</v>
      </c>
      <c r="D90" s="82"/>
      <c r="E90" s="60">
        <f>E87*$C$90</f>
        <v>26.827968341032001</v>
      </c>
      <c r="F90" s="60">
        <f>F87*$C$90</f>
        <v>27.978804101122371</v>
      </c>
      <c r="G90" s="60">
        <f t="shared" ref="G90" si="2">G87*$C$90</f>
        <v>27.978804101122371</v>
      </c>
    </row>
    <row r="91" spans="1:7">
      <c r="A91" s="25" t="s">
        <v>124</v>
      </c>
      <c r="B91" s="59" t="s">
        <v>180</v>
      </c>
      <c r="C91" s="47">
        <f>((15/30/12)*0.0078)</f>
        <v>3.2499999999999999E-4</v>
      </c>
      <c r="D91" s="47"/>
      <c r="E91" s="60">
        <f>E87*$C$91</f>
        <v>1.569436147950372</v>
      </c>
      <c r="F91" s="60">
        <f>F87*$C$91</f>
        <v>1.6367600399156588</v>
      </c>
      <c r="G91" s="60">
        <f t="shared" ref="G91" si="3">G87*$C$91</f>
        <v>1.6367600399156588</v>
      </c>
    </row>
    <row r="92" spans="1:7" ht="14.4" customHeight="1">
      <c r="A92" s="25" t="s">
        <v>126</v>
      </c>
      <c r="B92" s="59" t="s">
        <v>181</v>
      </c>
      <c r="C92" s="82">
        <f>(5/30/12)*0.02</f>
        <v>2.7777777777777778E-4</v>
      </c>
      <c r="D92" s="82"/>
      <c r="E92" s="60">
        <f>E87*$C$92</f>
        <v>1.3413984170516</v>
      </c>
      <c r="F92" s="60">
        <f>F87*$C$92</f>
        <v>1.3989402050561186</v>
      </c>
      <c r="G92" s="60">
        <f t="shared" ref="G92" si="4">G87*$C$92</f>
        <v>1.3989402050561186</v>
      </c>
    </row>
    <row r="93" spans="1:7">
      <c r="A93" s="25" t="s">
        <v>128</v>
      </c>
      <c r="B93" s="59" t="s">
        <v>182</v>
      </c>
      <c r="C93" s="82">
        <f>(4/12)/12*0.02</f>
        <v>5.5555555555555556E-4</v>
      </c>
      <c r="D93" s="82"/>
      <c r="E93" s="60">
        <f>E87*$C$93</f>
        <v>2.6827968341032</v>
      </c>
      <c r="F93" s="60">
        <f>F87*$C$93</f>
        <v>2.7978804101122372</v>
      </c>
      <c r="G93" s="60">
        <f t="shared" ref="G93" si="5">G87*$C$93</f>
        <v>2.7978804101122372</v>
      </c>
    </row>
    <row r="94" spans="1:7">
      <c r="A94" s="25" t="s">
        <v>130</v>
      </c>
      <c r="B94" s="59" t="s">
        <v>183</v>
      </c>
      <c r="C94" s="47">
        <f>(5/30)/12</f>
        <v>1.3888888888888888E-2</v>
      </c>
      <c r="D94" s="47"/>
      <c r="E94" s="60">
        <f>E87*$C$94</f>
        <v>67.069920852579997</v>
      </c>
      <c r="F94" s="60">
        <f>F87*$C$94</f>
        <v>69.947010252805924</v>
      </c>
      <c r="G94" s="60">
        <f t="shared" ref="G94" si="6">G87*$C$94</f>
        <v>69.947010252805924</v>
      </c>
    </row>
    <row r="95" spans="1:7">
      <c r="A95" s="25" t="s">
        <v>132</v>
      </c>
      <c r="B95" s="59" t="s">
        <v>184</v>
      </c>
      <c r="C95" s="47">
        <v>0</v>
      </c>
      <c r="D95" s="47"/>
      <c r="E95" s="60">
        <f>E87*$C$95</f>
        <v>0</v>
      </c>
      <c r="F95" s="60">
        <f>F87*$C$95</f>
        <v>0</v>
      </c>
      <c r="G95" s="60">
        <f t="shared" ref="G95" si="7">G87*$C$95</f>
        <v>0</v>
      </c>
    </row>
    <row r="96" spans="1:7">
      <c r="A96" s="376" t="s">
        <v>185</v>
      </c>
      <c r="B96" s="377"/>
      <c r="C96" s="378"/>
      <c r="D96" s="71"/>
      <c r="E96" s="29">
        <f>SUM(E89:E95)</f>
        <v>144.20480116110383</v>
      </c>
      <c r="F96" s="29">
        <f>SUM(F89:F95)</f>
        <v>150.3907351775496</v>
      </c>
      <c r="G96" s="29">
        <f>SUM(G89:G95)</f>
        <v>150.3907351775496</v>
      </c>
    </row>
    <row r="97" spans="1:7">
      <c r="A97" s="31"/>
      <c r="B97" s="31"/>
      <c r="C97" s="31"/>
      <c r="D97" s="31"/>
      <c r="E97" s="31"/>
      <c r="F97" s="31"/>
      <c r="G97" s="31"/>
    </row>
    <row r="98" spans="1:7">
      <c r="A98" s="370" t="s">
        <v>48</v>
      </c>
      <c r="B98" s="370"/>
      <c r="C98" s="370"/>
      <c r="D98" s="370"/>
      <c r="E98" s="370"/>
      <c r="F98" s="74"/>
      <c r="G98" s="74"/>
    </row>
    <row r="99" spans="1:7">
      <c r="A99" s="399" t="s">
        <v>186</v>
      </c>
      <c r="B99" s="399"/>
      <c r="C99" s="399"/>
      <c r="D99" s="49"/>
      <c r="E99" s="98">
        <f>E31+E70+E82</f>
        <v>4829.03430138576</v>
      </c>
      <c r="F99" s="98">
        <f>F31+F70+F82</f>
        <v>5036.1847382020269</v>
      </c>
      <c r="G99" s="98">
        <f>G31+G70+G82</f>
        <v>5036.1847382020269</v>
      </c>
    </row>
    <row r="100" spans="1:7" ht="68.25" customHeight="1">
      <c r="A100" s="20" t="s">
        <v>187</v>
      </c>
      <c r="B100" s="387" t="s">
        <v>188</v>
      </c>
      <c r="C100" s="387"/>
      <c r="D100" s="87"/>
      <c r="E100" s="73" t="s">
        <v>120</v>
      </c>
      <c r="F100" s="73" t="s">
        <v>120</v>
      </c>
      <c r="G100" s="73" t="s">
        <v>120</v>
      </c>
    </row>
    <row r="101" spans="1:7">
      <c r="A101" s="21" t="s">
        <v>121</v>
      </c>
      <c r="B101" s="398" t="s">
        <v>189</v>
      </c>
      <c r="C101" s="398"/>
      <c r="D101" s="35"/>
      <c r="E101" s="85"/>
      <c r="F101" s="85"/>
      <c r="G101" s="85"/>
    </row>
    <row r="102" spans="1:7" ht="15.75" customHeight="1">
      <c r="A102" s="384" t="s">
        <v>136</v>
      </c>
      <c r="B102" s="384"/>
      <c r="C102" s="384"/>
      <c r="D102" s="35"/>
      <c r="E102" s="86">
        <f>E101</f>
        <v>0</v>
      </c>
      <c r="F102" s="86">
        <f>F101</f>
        <v>0</v>
      </c>
      <c r="G102" s="86">
        <f>G101</f>
        <v>0</v>
      </c>
    </row>
    <row r="103" spans="1:7" ht="30" customHeight="1">
      <c r="A103" s="26"/>
      <c r="B103" s="4"/>
      <c r="C103" s="4"/>
      <c r="D103" s="4"/>
      <c r="E103" s="4"/>
      <c r="F103" s="4"/>
      <c r="G103" s="4"/>
    </row>
    <row r="104" spans="1:7">
      <c r="A104" s="397" t="s">
        <v>190</v>
      </c>
      <c r="B104" s="397"/>
      <c r="C104" s="397"/>
      <c r="D104" s="397"/>
      <c r="E104" s="397"/>
      <c r="F104" s="397"/>
      <c r="G104" s="397"/>
    </row>
    <row r="105" spans="1:7">
      <c r="A105" s="41">
        <v>4</v>
      </c>
      <c r="B105" s="387" t="s">
        <v>191</v>
      </c>
      <c r="C105" s="387"/>
      <c r="D105" s="87"/>
      <c r="E105" s="41" t="s">
        <v>120</v>
      </c>
      <c r="F105" s="41" t="s">
        <v>120</v>
      </c>
      <c r="G105" s="41" t="s">
        <v>120</v>
      </c>
    </row>
    <row r="106" spans="1:7">
      <c r="A106" s="43" t="s">
        <v>175</v>
      </c>
      <c r="B106" s="386" t="s">
        <v>192</v>
      </c>
      <c r="C106" s="386"/>
      <c r="D106" s="35"/>
      <c r="E106" s="85">
        <f>E96</f>
        <v>144.20480116110383</v>
      </c>
      <c r="F106" s="85">
        <f>F96</f>
        <v>150.3907351775496</v>
      </c>
      <c r="G106" s="85">
        <f t="shared" ref="G106" si="8">G96</f>
        <v>150.3907351775496</v>
      </c>
    </row>
    <row r="107" spans="1:7">
      <c r="A107" s="43" t="s">
        <v>187</v>
      </c>
      <c r="B107" s="386" t="s">
        <v>193</v>
      </c>
      <c r="C107" s="386"/>
      <c r="D107" s="35"/>
      <c r="E107" s="85">
        <f>E102</f>
        <v>0</v>
      </c>
      <c r="F107" s="85">
        <f>F102</f>
        <v>0</v>
      </c>
      <c r="G107" s="85">
        <f t="shared" ref="G107" si="9">G102</f>
        <v>0</v>
      </c>
    </row>
    <row r="108" spans="1:7">
      <c r="A108" s="384" t="s">
        <v>136</v>
      </c>
      <c r="B108" s="384"/>
      <c r="C108" s="384"/>
      <c r="D108" s="35"/>
      <c r="E108" s="86">
        <f>SUM(E106:E107)</f>
        <v>144.20480116110383</v>
      </c>
      <c r="F108" s="86">
        <f>SUM(F106:F107)</f>
        <v>150.3907351775496</v>
      </c>
      <c r="G108" s="86">
        <f t="shared" ref="G108" si="10">SUM(G106:G107)</f>
        <v>150.3907351775496</v>
      </c>
    </row>
    <row r="109" spans="1:7">
      <c r="A109" s="4"/>
      <c r="B109" s="4"/>
      <c r="C109" s="4"/>
      <c r="D109" s="4"/>
      <c r="E109" s="4"/>
      <c r="F109" s="4"/>
      <c r="G109" s="4"/>
    </row>
    <row r="110" spans="1:7">
      <c r="A110" s="351" t="s">
        <v>50</v>
      </c>
      <c r="B110" s="351"/>
      <c r="C110" s="351"/>
      <c r="D110" s="351"/>
      <c r="E110" s="351"/>
      <c r="F110" s="351"/>
      <c r="G110" s="351"/>
    </row>
    <row r="111" spans="1:7">
      <c r="A111" s="41">
        <v>5</v>
      </c>
      <c r="B111" s="387" t="s">
        <v>194</v>
      </c>
      <c r="C111" s="387"/>
      <c r="D111" s="87"/>
      <c r="E111" s="41" t="s">
        <v>120</v>
      </c>
      <c r="F111" s="41" t="s">
        <v>120</v>
      </c>
      <c r="G111" s="41" t="s">
        <v>120</v>
      </c>
    </row>
    <row r="112" spans="1:7">
      <c r="A112" s="15" t="s">
        <v>121</v>
      </c>
      <c r="B112" s="386" t="s">
        <v>195</v>
      </c>
      <c r="C112" s="386"/>
      <c r="D112" s="228"/>
      <c r="E112" s="229">
        <f>UNIFORMES!$F$18</f>
        <v>71.998888888888885</v>
      </c>
      <c r="F112" s="229">
        <f>UNIFORMES!F47</f>
        <v>80.668888888888887</v>
      </c>
      <c r="G112" s="229">
        <f>UNIFORMES!F47</f>
        <v>80.668888888888887</v>
      </c>
    </row>
    <row r="113" spans="1:7">
      <c r="A113" s="15" t="s">
        <v>122</v>
      </c>
      <c r="B113" s="386" t="s">
        <v>219</v>
      </c>
      <c r="C113" s="386"/>
      <c r="D113" s="228"/>
      <c r="E113" s="229">
        <f>EQUIPAMENTOS!$S$24</f>
        <v>23.963913159722221</v>
      </c>
      <c r="F113" s="229">
        <f>EQUIPAMENTOS!$S$24</f>
        <v>23.963913159722221</v>
      </c>
      <c r="G113" s="229">
        <f>EQUIPAMENTOS!T24</f>
        <v>61.003628750000011</v>
      </c>
    </row>
    <row r="114" spans="1:7">
      <c r="A114" s="15" t="s">
        <v>124</v>
      </c>
      <c r="B114" s="386" t="s">
        <v>196</v>
      </c>
      <c r="C114" s="386"/>
      <c r="D114" s="228"/>
      <c r="E114" s="229">
        <f>UTENSÍLIOS!R76</f>
        <v>141.55194444444447</v>
      </c>
      <c r="F114" s="229">
        <f>UTENSÍLIOS!R76</f>
        <v>141.55194444444447</v>
      </c>
      <c r="G114" s="229">
        <f>UTENSÍLIOS!S76</f>
        <v>350.61083333333335</v>
      </c>
    </row>
    <row r="115" spans="1:7">
      <c r="A115" s="15" t="s">
        <v>126</v>
      </c>
      <c r="B115" s="386" t="s">
        <v>197</v>
      </c>
      <c r="C115" s="386"/>
      <c r="D115" s="228"/>
      <c r="E115" s="229">
        <f>INSUMOS!$R$52</f>
        <v>472.63666666666671</v>
      </c>
      <c r="F115" s="229">
        <f>INSUMOS!$R$52</f>
        <v>472.63666666666671</v>
      </c>
      <c r="G115" s="229">
        <f>INSUMOS!$S$52</f>
        <v>1106.5000000000002</v>
      </c>
    </row>
    <row r="116" spans="1:7">
      <c r="A116" s="15" t="s">
        <v>128</v>
      </c>
      <c r="B116" s="386" t="s">
        <v>198</v>
      </c>
      <c r="C116" s="386"/>
      <c r="D116" s="228"/>
      <c r="E116" s="229"/>
      <c r="F116" s="229"/>
      <c r="G116" s="229"/>
    </row>
    <row r="117" spans="1:7">
      <c r="A117" s="384" t="s">
        <v>155</v>
      </c>
      <c r="B117" s="384"/>
      <c r="C117" s="384"/>
      <c r="D117" s="228"/>
      <c r="E117" s="230">
        <f>SUM(E112:E116)</f>
        <v>710.15141315972232</v>
      </c>
      <c r="F117" s="230">
        <f>SUM(F112:F116)</f>
        <v>718.82141315972228</v>
      </c>
      <c r="G117" s="230">
        <f>SUM(G112:G116)</f>
        <v>1598.7833509722225</v>
      </c>
    </row>
    <row r="118" spans="1:7">
      <c r="A118" s="4"/>
      <c r="B118" s="4"/>
      <c r="C118" s="4"/>
      <c r="D118" s="4"/>
      <c r="E118" s="4"/>
      <c r="F118" s="4"/>
      <c r="G118" s="4"/>
    </row>
    <row r="119" spans="1:7">
      <c r="A119" s="351" t="s">
        <v>51</v>
      </c>
      <c r="B119" s="351"/>
      <c r="C119" s="351"/>
      <c r="D119" s="351"/>
      <c r="E119" s="351"/>
      <c r="F119" s="351"/>
      <c r="G119" s="351"/>
    </row>
    <row r="120" spans="1:7">
      <c r="A120" s="3"/>
      <c r="B120" s="381" t="s">
        <v>199</v>
      </c>
      <c r="C120" s="381"/>
      <c r="D120" s="72"/>
      <c r="E120" s="10">
        <f>E31+E70+E82+E108+E117</f>
        <v>5683.3905157065865</v>
      </c>
      <c r="F120" s="10">
        <f>F31+F70+F82+F108+F117</f>
        <v>5905.396886539299</v>
      </c>
      <c r="G120" s="10">
        <f>G31+G70+G82+G108+G117</f>
        <v>6785.3588243517988</v>
      </c>
    </row>
    <row r="121" spans="1:7">
      <c r="A121" s="3"/>
      <c r="B121" s="381" t="s">
        <v>200</v>
      </c>
      <c r="C121" s="381"/>
      <c r="D121" s="72"/>
      <c r="E121" s="10">
        <f>E120+E124</f>
        <v>5842.5254501463705</v>
      </c>
      <c r="F121" s="10">
        <f>F120+F124</f>
        <v>6070.7479993623992</v>
      </c>
      <c r="G121" s="10">
        <f t="shared" ref="G121" si="11">G120+G124</f>
        <v>6975.348871433649</v>
      </c>
    </row>
    <row r="122" spans="1:7">
      <c r="A122" s="3"/>
      <c r="B122" s="381" t="s">
        <v>201</v>
      </c>
      <c r="C122" s="381"/>
      <c r="D122" s="72"/>
      <c r="E122" s="10">
        <f>(E121+E125)/(1-E126)</f>
        <v>7030.7895183743904</v>
      </c>
      <c r="F122" s="10">
        <f>(F121+F125)/(1-F126)</f>
        <v>7305.4284087954047</v>
      </c>
      <c r="G122" s="10">
        <f>(G121+G125)/(1-G126)</f>
        <v>8394.0087468599213</v>
      </c>
    </row>
    <row r="123" spans="1:7">
      <c r="A123" s="41">
        <v>6</v>
      </c>
      <c r="B123" s="41" t="s">
        <v>202</v>
      </c>
      <c r="C123" s="41" t="s">
        <v>140</v>
      </c>
      <c r="D123" s="41"/>
      <c r="E123" s="41" t="s">
        <v>120</v>
      </c>
      <c r="F123" s="41" t="s">
        <v>120</v>
      </c>
      <c r="G123" s="41" t="s">
        <v>120</v>
      </c>
    </row>
    <row r="124" spans="1:7">
      <c r="A124" s="43" t="s">
        <v>121</v>
      </c>
      <c r="B124" s="6" t="s">
        <v>203</v>
      </c>
      <c r="C124" s="47" t="s">
        <v>52</v>
      </c>
      <c r="D124" s="47"/>
      <c r="E124" s="22">
        <f>E120*DADOS_BASICOS!B44</f>
        <v>159.13493443978442</v>
      </c>
      <c r="F124" s="22">
        <f>F120*DADOS_BASICOS!D44</f>
        <v>165.35111282310038</v>
      </c>
      <c r="G124" s="22">
        <f>G120*DADOS_BASICOS!D44</f>
        <v>189.99004708185038</v>
      </c>
    </row>
    <row r="125" spans="1:7">
      <c r="A125" s="43" t="s">
        <v>122</v>
      </c>
      <c r="B125" s="6" t="s">
        <v>204</v>
      </c>
      <c r="C125" s="47" t="s">
        <v>52</v>
      </c>
      <c r="D125" s="47"/>
      <c r="E125" s="22">
        <f>E121*DADOS_BASICOS!B54</f>
        <v>186.37656185966921</v>
      </c>
      <c r="F125" s="22">
        <f>F121*DADOS_BASICOS!D54</f>
        <v>193.65686117966052</v>
      </c>
      <c r="G125" s="22">
        <f>G121*DADOS_BASICOS!D54</f>
        <v>222.5136289987334</v>
      </c>
    </row>
    <row r="126" spans="1:7">
      <c r="A126" s="43" t="s">
        <v>124</v>
      </c>
      <c r="B126" s="5" t="s">
        <v>205</v>
      </c>
      <c r="C126" s="18"/>
      <c r="D126" s="18"/>
      <c r="E126" s="224">
        <f>SUM($C$127:$C$129,$C$131,DADOS_BASICOS!B64)</f>
        <v>0.14250000000000002</v>
      </c>
      <c r="F126" s="224">
        <f>SUM($C$127:$C$129,$C$131,DADOS_BASICOS!D64)</f>
        <v>0.14250000000000002</v>
      </c>
      <c r="G126" s="224">
        <f>SUM($C$127:$C$129,$C$131,DADOS_BASICOS!D64)</f>
        <v>0.14250000000000002</v>
      </c>
    </row>
    <row r="127" spans="1:7" ht="31.5" customHeight="1">
      <c r="A127" s="43"/>
      <c r="B127" s="5" t="s">
        <v>206</v>
      </c>
      <c r="C127" s="18">
        <v>7.5999999999999998E-2</v>
      </c>
      <c r="D127" s="18"/>
      <c r="E127" s="22">
        <f>E122*$C$127</f>
        <v>534.34000339645365</v>
      </c>
      <c r="F127" s="22">
        <f>F122*$C$127</f>
        <v>555.21255906845079</v>
      </c>
      <c r="G127" s="22">
        <f t="shared" ref="G127" si="12">G122*$C$127</f>
        <v>637.94466476135403</v>
      </c>
    </row>
    <row r="128" spans="1:7">
      <c r="A128" s="43"/>
      <c r="B128" s="5" t="s">
        <v>207</v>
      </c>
      <c r="C128" s="18">
        <v>1.6500000000000001E-2</v>
      </c>
      <c r="D128" s="18"/>
      <c r="E128" s="22">
        <f>E122*$C$128</f>
        <v>116.00802705317744</v>
      </c>
      <c r="F128" s="22">
        <f>F122*$C$128</f>
        <v>120.53956874512419</v>
      </c>
      <c r="G128" s="22">
        <f t="shared" ref="G128" si="13">G122*$C$128</f>
        <v>138.5011443231887</v>
      </c>
    </row>
    <row r="129" spans="1:7">
      <c r="A129" s="43"/>
      <c r="B129" s="5" t="s">
        <v>208</v>
      </c>
      <c r="C129" s="18"/>
      <c r="D129" s="18"/>
      <c r="E129" s="22">
        <f>E122*$C$129</f>
        <v>0</v>
      </c>
      <c r="F129" s="22">
        <f>F122*$C$129</f>
        <v>0</v>
      </c>
      <c r="G129" s="22">
        <f t="shared" ref="G129" si="14">G122*$C$129</f>
        <v>0</v>
      </c>
    </row>
    <row r="130" spans="1:7">
      <c r="A130" s="43"/>
      <c r="B130" s="5" t="s">
        <v>209</v>
      </c>
      <c r="C130" s="34" t="s">
        <v>52</v>
      </c>
      <c r="D130" s="34"/>
      <c r="E130" s="22">
        <f>E122*DADOS_BASICOS!B64</f>
        <v>351.53947591871952</v>
      </c>
      <c r="F130" s="22">
        <f>F122*DADOS_BASICOS!D64</f>
        <v>365.27142043977028</v>
      </c>
      <c r="G130" s="22">
        <f>G122*DADOS_BASICOS!D64</f>
        <v>419.70043734299611</v>
      </c>
    </row>
    <row r="131" spans="1:7" ht="31.2">
      <c r="A131" s="43"/>
      <c r="B131" s="6" t="s">
        <v>210</v>
      </c>
      <c r="C131" s="34"/>
      <c r="D131" s="34"/>
      <c r="E131" s="22"/>
      <c r="F131" s="22"/>
      <c r="G131" s="22"/>
    </row>
    <row r="132" spans="1:7">
      <c r="A132" s="319" t="s">
        <v>143</v>
      </c>
      <c r="B132" s="319"/>
      <c r="C132" s="18"/>
      <c r="D132" s="18"/>
      <c r="E132" s="30">
        <f>SUM(E124:E125,E127:E131)</f>
        <v>1347.3990026678043</v>
      </c>
      <c r="F132" s="30">
        <f>SUM(F124:F125,F127:F131)</f>
        <v>1400.0315222561062</v>
      </c>
      <c r="G132" s="30">
        <f>SUM(G124:G125,G127:G131)</f>
        <v>1608.6499225081227</v>
      </c>
    </row>
    <row r="133" spans="1:7" ht="10.199999999999999" customHeight="1">
      <c r="A133" s="40"/>
      <c r="B133" s="40"/>
      <c r="C133" s="40"/>
      <c r="D133" s="40"/>
      <c r="E133" s="40"/>
      <c r="F133" s="40"/>
      <c r="G133" s="40"/>
    </row>
    <row r="134" spans="1:7" ht="6" customHeight="1">
      <c r="A134" s="4"/>
      <c r="B134" s="4"/>
      <c r="C134" s="4"/>
      <c r="D134" s="4"/>
      <c r="E134" s="4"/>
      <c r="F134" s="4"/>
      <c r="G134" s="4"/>
    </row>
    <row r="135" spans="1:7">
      <c r="A135" s="351" t="s">
        <v>211</v>
      </c>
      <c r="B135" s="351"/>
      <c r="C135" s="351"/>
      <c r="D135" s="351"/>
      <c r="E135" s="351"/>
      <c r="F135" s="351"/>
      <c r="G135" s="351"/>
    </row>
    <row r="136" spans="1:7">
      <c r="A136" s="4"/>
      <c r="B136" s="4"/>
      <c r="C136" s="4"/>
      <c r="D136" s="4"/>
      <c r="E136" s="4"/>
      <c r="F136" s="4"/>
      <c r="G136" s="4"/>
    </row>
    <row r="137" spans="1:7">
      <c r="A137" s="41"/>
      <c r="B137" s="380" t="s">
        <v>212</v>
      </c>
      <c r="C137" s="380"/>
      <c r="D137" s="83"/>
      <c r="E137" s="41" t="s">
        <v>120</v>
      </c>
      <c r="F137" s="41" t="s">
        <v>120</v>
      </c>
      <c r="G137" s="41" t="s">
        <v>120</v>
      </c>
    </row>
    <row r="138" spans="1:7">
      <c r="A138" s="37" t="s">
        <v>121</v>
      </c>
      <c r="B138" s="383" t="s">
        <v>118</v>
      </c>
      <c r="C138" s="383"/>
      <c r="D138" s="85"/>
      <c r="E138" s="85">
        <f>E31</f>
        <v>2293.1999999999998</v>
      </c>
      <c r="F138" s="85">
        <f>F31</f>
        <v>2415.1999999999998</v>
      </c>
      <c r="G138" s="85">
        <f>G31</f>
        <v>2415.1999999999998</v>
      </c>
    </row>
    <row r="139" spans="1:7" ht="19.5" customHeight="1">
      <c r="A139" s="37" t="s">
        <v>122</v>
      </c>
      <c r="B139" s="383" t="s">
        <v>137</v>
      </c>
      <c r="C139" s="383"/>
      <c r="D139" s="35"/>
      <c r="E139" s="85">
        <f>E70</f>
        <v>2391.5712095999997</v>
      </c>
      <c r="F139" s="85">
        <f>F70</f>
        <v>2470.5696255999997</v>
      </c>
      <c r="G139" s="85">
        <f>G70</f>
        <v>2470.5696255999997</v>
      </c>
    </row>
    <row r="140" spans="1:7" s="90" customFormat="1">
      <c r="A140" s="231" t="s">
        <v>124</v>
      </c>
      <c r="B140" s="220" t="s">
        <v>45</v>
      </c>
      <c r="C140" s="96"/>
      <c r="D140" s="96"/>
      <c r="E140" s="232">
        <f>E82</f>
        <v>144.26309178576003</v>
      </c>
      <c r="F140" s="232">
        <f>F82</f>
        <v>150.41511260202668</v>
      </c>
      <c r="G140" s="232">
        <f>G82</f>
        <v>150.41511260202668</v>
      </c>
    </row>
    <row r="141" spans="1:7" s="90" customFormat="1">
      <c r="A141" s="231" t="s">
        <v>126</v>
      </c>
      <c r="B141" s="220" t="s">
        <v>46</v>
      </c>
      <c r="C141" s="96"/>
      <c r="D141" s="96"/>
      <c r="E141" s="232">
        <f>E108</f>
        <v>144.20480116110383</v>
      </c>
      <c r="F141" s="232">
        <f>F108</f>
        <v>150.3907351775496</v>
      </c>
      <c r="G141" s="232">
        <f>G108</f>
        <v>150.3907351775496</v>
      </c>
    </row>
    <row r="142" spans="1:7" s="90" customFormat="1">
      <c r="A142" s="231" t="s">
        <v>128</v>
      </c>
      <c r="B142" s="220" t="s">
        <v>50</v>
      </c>
      <c r="C142" s="96"/>
      <c r="D142" s="96"/>
      <c r="E142" s="232">
        <f>E117</f>
        <v>710.15141315972232</v>
      </c>
      <c r="F142" s="232">
        <f>F117</f>
        <v>718.82141315972228</v>
      </c>
      <c r="G142" s="232">
        <f t="shared" ref="G142" si="15">G117</f>
        <v>1598.7833509722225</v>
      </c>
    </row>
    <row r="143" spans="1:7" s="90" customFormat="1" ht="15.75" customHeight="1">
      <c r="A143" s="385" t="s">
        <v>220</v>
      </c>
      <c r="B143" s="385"/>
      <c r="C143" s="385"/>
      <c r="D143" s="96"/>
      <c r="E143" s="233">
        <f>SUM(E138:E142)</f>
        <v>5683.3905157065865</v>
      </c>
      <c r="F143" s="233">
        <f t="shared" ref="F143:G143" si="16">SUM(F138:F142)</f>
        <v>5905.396886539299</v>
      </c>
      <c r="G143" s="233">
        <f t="shared" si="16"/>
        <v>6785.3588243517988</v>
      </c>
    </row>
    <row r="144" spans="1:7">
      <c r="A144" s="37" t="s">
        <v>130</v>
      </c>
      <c r="B144" s="319" t="s">
        <v>214</v>
      </c>
      <c r="C144" s="319"/>
      <c r="D144" s="35"/>
      <c r="E144" s="85">
        <f>E132</f>
        <v>1347.3990026678043</v>
      </c>
      <c r="F144" s="85">
        <f>F132</f>
        <v>1400.0315222561062</v>
      </c>
      <c r="G144" s="85">
        <f t="shared" ref="G144" si="17">G132</f>
        <v>1608.6499225081227</v>
      </c>
    </row>
    <row r="145" spans="1:7" ht="15.75" customHeight="1">
      <c r="A145" s="379" t="s">
        <v>215</v>
      </c>
      <c r="B145" s="379"/>
      <c r="C145" s="379"/>
      <c r="D145" s="35"/>
      <c r="E145" s="88">
        <f>ROUND(SUM(E143+E144),2)</f>
        <v>7030.79</v>
      </c>
      <c r="F145" s="88">
        <f>ROUND(SUM(F143+F144),2)</f>
        <v>7305.43</v>
      </c>
      <c r="G145" s="88">
        <f t="shared" ref="G145" si="18">ROUND(SUM(G143+G144),2)</f>
        <v>8394.01</v>
      </c>
    </row>
    <row r="146" spans="1:7" ht="36" customHeight="1"/>
    <row r="149" spans="1:7">
      <c r="G149" s="253"/>
    </row>
  </sheetData>
  <mergeCells count="85">
    <mergeCell ref="B139:C139"/>
    <mergeCell ref="A143:C143"/>
    <mergeCell ref="B144:C144"/>
    <mergeCell ref="A145:C145"/>
    <mergeCell ref="B121:C121"/>
    <mergeCell ref="B122:C122"/>
    <mergeCell ref="A132:B132"/>
    <mergeCell ref="A135:G135"/>
    <mergeCell ref="B137:C137"/>
    <mergeCell ref="B138:C138"/>
    <mergeCell ref="B120:C120"/>
    <mergeCell ref="B106:C106"/>
    <mergeCell ref="B107:C107"/>
    <mergeCell ref="A108:C108"/>
    <mergeCell ref="A110:G110"/>
    <mergeCell ref="B111:C111"/>
    <mergeCell ref="B112:C112"/>
    <mergeCell ref="B113:C113"/>
    <mergeCell ref="B114:C114"/>
    <mergeCell ref="B116:C116"/>
    <mergeCell ref="A117:C117"/>
    <mergeCell ref="A119:G119"/>
    <mergeCell ref="B115:C115"/>
    <mergeCell ref="B105:C105"/>
    <mergeCell ref="A82:B82"/>
    <mergeCell ref="A84:G84"/>
    <mergeCell ref="A85:G85"/>
    <mergeCell ref="A87:C87"/>
    <mergeCell ref="A96:C96"/>
    <mergeCell ref="A98:E98"/>
    <mergeCell ref="A99:C99"/>
    <mergeCell ref="B100:C100"/>
    <mergeCell ref="B101:C101"/>
    <mergeCell ref="A102:C102"/>
    <mergeCell ref="A104:G104"/>
    <mergeCell ref="A74:C74"/>
    <mergeCell ref="A52:B52"/>
    <mergeCell ref="A54:G54"/>
    <mergeCell ref="A62:C62"/>
    <mergeCell ref="A64:G64"/>
    <mergeCell ref="B66:C66"/>
    <mergeCell ref="B67:C67"/>
    <mergeCell ref="B68:C68"/>
    <mergeCell ref="B69:C69"/>
    <mergeCell ref="A70:C70"/>
    <mergeCell ref="A72:G72"/>
    <mergeCell ref="A73:C73"/>
    <mergeCell ref="B55:C55"/>
    <mergeCell ref="B56:C56"/>
    <mergeCell ref="B57:C57"/>
    <mergeCell ref="B58:C58"/>
    <mergeCell ref="A42:C42"/>
    <mergeCell ref="B25:C25"/>
    <mergeCell ref="B26:C26"/>
    <mergeCell ref="B27:C27"/>
    <mergeCell ref="B28:C28"/>
    <mergeCell ref="B29:C29"/>
    <mergeCell ref="B30:C30"/>
    <mergeCell ref="A31:C31"/>
    <mergeCell ref="A33:G33"/>
    <mergeCell ref="A35:G35"/>
    <mergeCell ref="A39:B39"/>
    <mergeCell ref="A41:G41"/>
    <mergeCell ref="B17:C17"/>
    <mergeCell ref="B11:C11"/>
    <mergeCell ref="A20:G20"/>
    <mergeCell ref="B22:C22"/>
    <mergeCell ref="B23:C23"/>
    <mergeCell ref="B18:C18"/>
    <mergeCell ref="B59:C59"/>
    <mergeCell ref="B60:C60"/>
    <mergeCell ref="B61:C61"/>
    <mergeCell ref="B12:C12"/>
    <mergeCell ref="A1:E1"/>
    <mergeCell ref="A3:E3"/>
    <mergeCell ref="A4:E4"/>
    <mergeCell ref="A6:G6"/>
    <mergeCell ref="B8:C8"/>
    <mergeCell ref="B24:C24"/>
    <mergeCell ref="B13:C13"/>
    <mergeCell ref="B10:C10"/>
    <mergeCell ref="B14:C14"/>
    <mergeCell ref="B15:C15"/>
    <mergeCell ref="B9:C9"/>
    <mergeCell ref="B16:C16"/>
  </mergeCells>
  <pageMargins left="0.25" right="0.25" top="0.75" bottom="0.75" header="0.3" footer="0.3"/>
  <pageSetup paperSize="3" scale="98" fitToHeight="0" orientation="landscape" r:id="rId1"/>
  <headerFooter>
    <oddFooter>&amp;C&amp;A
&amp;P de &amp;N</oddFooter>
  </headerFooter>
  <rowBreaks count="3" manualBreakCount="3">
    <brk id="39" max="6" man="1"/>
    <brk id="96" max="6" man="1"/>
    <brk id="117" max="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DC61A-621A-4B3E-AC5F-83ED9558DEFC}">
  <sheetPr>
    <pageSetUpPr fitToPage="1"/>
  </sheetPr>
  <dimension ref="A1:F146"/>
  <sheetViews>
    <sheetView view="pageBreakPreview" topLeftCell="A123" zoomScaleNormal="90" zoomScaleSheetLayoutView="100" zoomScalePageLayoutView="106" workbookViewId="0">
      <selection activeCell="C153" sqref="C153"/>
    </sheetView>
  </sheetViews>
  <sheetFormatPr defaultColWidth="8.5546875" defaultRowHeight="15.6"/>
  <cols>
    <col min="1" max="1" width="8.5546875" style="1"/>
    <col min="2" max="2" width="64.109375" style="1" customWidth="1"/>
    <col min="3" max="3" width="18" style="1" customWidth="1"/>
    <col min="4" max="4" width="3.5546875" style="1" customWidth="1"/>
    <col min="5" max="5" width="41.5546875" style="1" customWidth="1"/>
    <col min="6" max="6" width="37.109375" style="1" customWidth="1"/>
    <col min="7" max="8" width="12.44140625" style="1" customWidth="1"/>
    <col min="9" max="10" width="8.5546875" style="1"/>
    <col min="11" max="11" width="9.109375" style="1" bestFit="1" customWidth="1"/>
    <col min="12" max="16384" width="8.5546875" style="1"/>
  </cols>
  <sheetData>
    <row r="1" spans="1:6" ht="21" customHeight="1">
      <c r="A1" s="320" t="s">
        <v>10</v>
      </c>
      <c r="B1" s="320"/>
      <c r="C1" s="320"/>
      <c r="D1" s="320"/>
      <c r="E1" s="320"/>
      <c r="F1" s="124"/>
    </row>
    <row r="2" spans="1:6" ht="6.75" customHeight="1">
      <c r="A2" s="2"/>
      <c r="B2" s="2"/>
      <c r="C2" s="2"/>
      <c r="D2" s="2"/>
      <c r="E2" s="2"/>
      <c r="F2" s="2"/>
    </row>
    <row r="3" spans="1:6">
      <c r="A3" s="321" t="str">
        <f>PROPOSTA_GLOBAL!A4</f>
        <v>SUPERINTENDÊNCIA REGIONAL DA POLÍCIA FEDERAL NO PARANÁ</v>
      </c>
      <c r="B3" s="321"/>
      <c r="C3" s="321"/>
      <c r="D3" s="321"/>
      <c r="E3" s="321"/>
      <c r="F3" s="125"/>
    </row>
    <row r="4" spans="1:6">
      <c r="A4" s="321" t="str">
        <f>PROPOSTA_GLOBAL!A5</f>
        <v>PROCESSO ADMINISTRATIVO SEI Nº 08385.000837/2025-50</v>
      </c>
      <c r="B4" s="321"/>
      <c r="C4" s="321"/>
      <c r="D4" s="321"/>
      <c r="E4" s="321"/>
      <c r="F4" s="125"/>
    </row>
    <row r="5" spans="1:6" ht="12" customHeight="1">
      <c r="A5" s="2"/>
      <c r="B5" s="2"/>
      <c r="C5" s="2"/>
      <c r="D5" s="2"/>
      <c r="E5" s="2"/>
      <c r="F5" s="2"/>
    </row>
    <row r="6" spans="1:6" ht="9.75" customHeight="1">
      <c r="A6" s="351"/>
      <c r="B6" s="351"/>
      <c r="C6" s="351"/>
      <c r="D6" s="351"/>
      <c r="E6" s="351"/>
      <c r="F6" s="351"/>
    </row>
    <row r="7" spans="1:6" ht="14.25" customHeight="1">
      <c r="A7" s="3"/>
      <c r="B7" s="3"/>
      <c r="C7" s="3"/>
      <c r="D7" s="3"/>
      <c r="E7" s="36"/>
      <c r="F7" s="36"/>
    </row>
    <row r="8" spans="1:6">
      <c r="A8" s="37">
        <v>1</v>
      </c>
      <c r="B8" s="394" t="s">
        <v>102</v>
      </c>
      <c r="C8" s="394"/>
      <c r="D8" s="77"/>
      <c r="E8" s="65" t="s">
        <v>103</v>
      </c>
      <c r="F8" s="65" t="s">
        <v>103</v>
      </c>
    </row>
    <row r="9" spans="1:6">
      <c r="A9" s="37">
        <v>2</v>
      </c>
      <c r="B9" s="394" t="s">
        <v>108</v>
      </c>
      <c r="C9" s="394"/>
      <c r="D9" s="77"/>
      <c r="E9" s="76" t="s">
        <v>221</v>
      </c>
      <c r="F9" s="76" t="s">
        <v>221</v>
      </c>
    </row>
    <row r="10" spans="1:6">
      <c r="A10" s="37">
        <v>3</v>
      </c>
      <c r="B10" s="394" t="s">
        <v>106</v>
      </c>
      <c r="C10" s="394"/>
      <c r="D10" s="77"/>
      <c r="E10" s="89" t="str">
        <f>DADOS_BASICOS!C13</f>
        <v>Servente de limpeza</v>
      </c>
      <c r="F10" s="89" t="str">
        <f>DADOS_BASICOS!C13</f>
        <v>Servente de limpeza</v>
      </c>
    </row>
    <row r="11" spans="1:6">
      <c r="A11" s="37">
        <v>4</v>
      </c>
      <c r="B11" s="394" t="s">
        <v>116</v>
      </c>
      <c r="C11" s="394"/>
      <c r="D11" s="77"/>
      <c r="E11" s="76" t="s">
        <v>115</v>
      </c>
      <c r="F11" s="76" t="s">
        <v>114</v>
      </c>
    </row>
    <row r="12" spans="1:6">
      <c r="A12" s="37">
        <v>5</v>
      </c>
      <c r="B12" s="394" t="s">
        <v>104</v>
      </c>
      <c r="C12" s="394"/>
      <c r="D12" s="77"/>
      <c r="E12" s="78" t="str">
        <f>DADOS_BASICOS!C14</f>
        <v>5143-20</v>
      </c>
      <c r="F12" s="78" t="str">
        <f>DADOS_BASICOS!C14</f>
        <v>5143-20</v>
      </c>
    </row>
    <row r="13" spans="1:6">
      <c r="A13" s="37">
        <v>6</v>
      </c>
      <c r="B13" s="394" t="s">
        <v>105</v>
      </c>
      <c r="C13" s="394"/>
      <c r="D13" s="77"/>
      <c r="E13" s="267">
        <f>DADOS_BASICOS!C17</f>
        <v>1764</v>
      </c>
      <c r="F13" s="267">
        <f>DADOS_BASICOS!C17</f>
        <v>1764</v>
      </c>
    </row>
    <row r="14" spans="1:6">
      <c r="A14" s="37">
        <v>7</v>
      </c>
      <c r="B14" s="388" t="s">
        <v>107</v>
      </c>
      <c r="C14" s="389"/>
      <c r="D14" s="77"/>
      <c r="E14" s="290">
        <f>DADOS_BASICOS!C16</f>
        <v>45689</v>
      </c>
      <c r="F14" s="290">
        <f>DADOS_BASICOS!C16</f>
        <v>45689</v>
      </c>
    </row>
    <row r="15" spans="1:6">
      <c r="A15" s="37">
        <v>8</v>
      </c>
      <c r="B15" s="394" t="s">
        <v>82</v>
      </c>
      <c r="C15" s="394"/>
      <c r="D15" s="77"/>
      <c r="E15" s="94">
        <f>DADOS_BASICOS!C18</f>
        <v>40</v>
      </c>
      <c r="F15" s="94">
        <f>DADOS_BASICOS!C18</f>
        <v>40</v>
      </c>
    </row>
    <row r="16" spans="1:6">
      <c r="A16" s="37">
        <v>9</v>
      </c>
      <c r="B16" s="394" t="s">
        <v>112</v>
      </c>
      <c r="C16" s="394"/>
      <c r="D16" s="77"/>
      <c r="E16" s="76" t="str">
        <f>DADOS_BASICOS!C15</f>
        <v>PR000074/2025</v>
      </c>
      <c r="F16" s="76" t="str">
        <f>DADOS_BASICOS!C15</f>
        <v>PR000074/2025</v>
      </c>
    </row>
    <row r="17" spans="1:6" ht="15.75" customHeight="1">
      <c r="A17" s="37">
        <v>10</v>
      </c>
      <c r="B17" s="394" t="s">
        <v>113</v>
      </c>
      <c r="C17" s="394"/>
      <c r="D17" s="77"/>
      <c r="E17" s="76" t="s">
        <v>114</v>
      </c>
      <c r="F17" s="76" t="s">
        <v>114</v>
      </c>
    </row>
    <row r="18" spans="1:6" ht="15.75" customHeight="1">
      <c r="A18" s="37">
        <v>11</v>
      </c>
      <c r="B18" s="394" t="s">
        <v>117</v>
      </c>
      <c r="C18" s="394"/>
      <c r="D18" s="77"/>
      <c r="E18" s="94">
        <f>PRODUTIVIDADE!K140-1</f>
        <v>4</v>
      </c>
      <c r="F18" s="94">
        <v>1</v>
      </c>
    </row>
    <row r="19" spans="1:6" ht="15.75" customHeight="1">
      <c r="A19" s="4"/>
      <c r="B19" s="4"/>
      <c r="C19" s="4"/>
      <c r="D19" s="4"/>
      <c r="E19" s="4"/>
      <c r="F19" s="4"/>
    </row>
    <row r="20" spans="1:6">
      <c r="A20" s="351" t="s">
        <v>118</v>
      </c>
      <c r="B20" s="351"/>
      <c r="C20" s="351"/>
      <c r="D20" s="351"/>
      <c r="E20" s="351"/>
      <c r="F20" s="351"/>
    </row>
    <row r="21" spans="1:6">
      <c r="A21" s="4"/>
      <c r="B21" s="4"/>
      <c r="C21" s="4"/>
      <c r="D21" s="4"/>
      <c r="E21" s="4"/>
      <c r="F21" s="4"/>
    </row>
    <row r="22" spans="1:6">
      <c r="A22" s="41">
        <v>1</v>
      </c>
      <c r="B22" s="373" t="s">
        <v>119</v>
      </c>
      <c r="C22" s="374"/>
      <c r="D22" s="66"/>
      <c r="E22" s="38" t="s">
        <v>120</v>
      </c>
      <c r="F22" s="38" t="s">
        <v>120</v>
      </c>
    </row>
    <row r="23" spans="1:6" ht="15.6" customHeight="1">
      <c r="A23" s="43" t="s">
        <v>121</v>
      </c>
      <c r="B23" s="390" t="s">
        <v>563</v>
      </c>
      <c r="C23" s="391"/>
      <c r="D23" s="67"/>
      <c r="E23" s="45">
        <f>DADOS_BASICOS!C19</f>
        <v>1764</v>
      </c>
      <c r="F23" s="45">
        <f>DADOS_BASICOS!C19</f>
        <v>1764</v>
      </c>
    </row>
    <row r="24" spans="1:6" ht="15.6" customHeight="1">
      <c r="A24" s="43" t="s">
        <v>122</v>
      </c>
      <c r="B24" s="392" t="s">
        <v>123</v>
      </c>
      <c r="C24" s="393"/>
      <c r="D24" s="68"/>
      <c r="E24" s="44">
        <f>IF(E17="SIM",(E23*0.3),0)</f>
        <v>529.19999999999993</v>
      </c>
      <c r="F24" s="44">
        <f>IF(F17="SIM",(F23*0.3),0)</f>
        <v>529.19999999999993</v>
      </c>
    </row>
    <row r="25" spans="1:6">
      <c r="A25" s="43" t="s">
        <v>124</v>
      </c>
      <c r="B25" s="371" t="s">
        <v>125</v>
      </c>
      <c r="C25" s="372"/>
      <c r="D25" s="69"/>
      <c r="E25" s="44">
        <v>0</v>
      </c>
      <c r="F25" s="44">
        <v>0</v>
      </c>
    </row>
    <row r="26" spans="1:6">
      <c r="A26" s="43" t="s">
        <v>126</v>
      </c>
      <c r="B26" s="388" t="s">
        <v>127</v>
      </c>
      <c r="C26" s="389"/>
      <c r="D26" s="70"/>
      <c r="E26" s="44">
        <v>0</v>
      </c>
      <c r="F26" s="44">
        <v>0</v>
      </c>
    </row>
    <row r="27" spans="1:6">
      <c r="A27" s="43" t="s">
        <v>128</v>
      </c>
      <c r="B27" s="388" t="s">
        <v>129</v>
      </c>
      <c r="C27" s="389"/>
      <c r="D27" s="70"/>
      <c r="E27" s="44">
        <v>0</v>
      </c>
      <c r="F27" s="44">
        <v>0</v>
      </c>
    </row>
    <row r="28" spans="1:6">
      <c r="A28" s="43" t="s">
        <v>130</v>
      </c>
      <c r="B28" s="392" t="s">
        <v>131</v>
      </c>
      <c r="C28" s="393"/>
      <c r="D28" s="68"/>
      <c r="E28" s="266">
        <v>0</v>
      </c>
      <c r="F28" s="266">
        <v>0</v>
      </c>
    </row>
    <row r="29" spans="1:6">
      <c r="A29" s="43" t="s">
        <v>132</v>
      </c>
      <c r="B29" s="392" t="s">
        <v>133</v>
      </c>
      <c r="C29" s="393"/>
      <c r="D29" s="68"/>
      <c r="E29" s="266">
        <f>IF(E11="SIM",DADOS_BASICOS!C20,0)</f>
        <v>0</v>
      </c>
      <c r="F29" s="266">
        <f>IF(F11="SIM",DADOS_BASICOS!C20,0)</f>
        <v>122</v>
      </c>
    </row>
    <row r="30" spans="1:6">
      <c r="A30" s="43" t="s">
        <v>134</v>
      </c>
      <c r="B30" s="392" t="s">
        <v>135</v>
      </c>
      <c r="C30" s="393"/>
      <c r="D30" s="68"/>
      <c r="E30" s="266">
        <v>0</v>
      </c>
      <c r="F30" s="266">
        <v>0</v>
      </c>
    </row>
    <row r="31" spans="1:6">
      <c r="A31" s="376" t="s">
        <v>136</v>
      </c>
      <c r="B31" s="377"/>
      <c r="C31" s="378"/>
      <c r="D31" s="71"/>
      <c r="E31" s="46">
        <f>SUM(E23:E30)</f>
        <v>2293.1999999999998</v>
      </c>
      <c r="F31" s="46">
        <f>SUM(F23:F30)</f>
        <v>2415.1999999999998</v>
      </c>
    </row>
    <row r="32" spans="1:6">
      <c r="A32" s="4"/>
      <c r="B32" s="4"/>
      <c r="C32" s="4"/>
      <c r="D32" s="4"/>
      <c r="E32" s="4"/>
      <c r="F32" s="4"/>
    </row>
    <row r="33" spans="1:6">
      <c r="A33" s="351" t="s">
        <v>137</v>
      </c>
      <c r="B33" s="351"/>
      <c r="C33" s="351"/>
      <c r="D33" s="351"/>
      <c r="E33" s="351"/>
      <c r="F33" s="351"/>
    </row>
    <row r="34" spans="1:6">
      <c r="A34" s="8"/>
      <c r="B34" s="4"/>
      <c r="C34" s="4"/>
      <c r="D34" s="4"/>
      <c r="E34" s="4"/>
      <c r="F34" s="4"/>
    </row>
    <row r="35" spans="1:6">
      <c r="A35" s="395" t="s">
        <v>42</v>
      </c>
      <c r="B35" s="395"/>
      <c r="C35" s="395"/>
      <c r="D35" s="395"/>
      <c r="E35" s="395"/>
      <c r="F35" s="395"/>
    </row>
    <row r="36" spans="1:6" ht="15.75" customHeight="1">
      <c r="A36" s="41" t="s">
        <v>138</v>
      </c>
      <c r="B36" s="41" t="s">
        <v>139</v>
      </c>
      <c r="C36" s="41" t="s">
        <v>140</v>
      </c>
      <c r="D36" s="41"/>
      <c r="E36" s="41" t="s">
        <v>120</v>
      </c>
      <c r="F36" s="41" t="s">
        <v>120</v>
      </c>
    </row>
    <row r="37" spans="1:6">
      <c r="A37" s="43" t="s">
        <v>121</v>
      </c>
      <c r="B37" s="5" t="s">
        <v>141</v>
      </c>
      <c r="C37" s="18">
        <f>1/12</f>
        <v>8.3333333333333329E-2</v>
      </c>
      <c r="D37" s="18"/>
      <c r="E37" s="9">
        <f>E$31*$C$37</f>
        <v>191.09999999999997</v>
      </c>
      <c r="F37" s="9">
        <f>F$31*$C$37</f>
        <v>201.26666666666665</v>
      </c>
    </row>
    <row r="38" spans="1:6" ht="15.75" customHeight="1">
      <c r="A38" s="43" t="s">
        <v>122</v>
      </c>
      <c r="B38" s="5" t="s">
        <v>142</v>
      </c>
      <c r="C38" s="47">
        <v>0.121</v>
      </c>
      <c r="D38" s="47"/>
      <c r="E38" s="9">
        <f>E$31*$C$38</f>
        <v>277.47719999999998</v>
      </c>
      <c r="F38" s="9">
        <f>F$31*$C$38</f>
        <v>292.23919999999998</v>
      </c>
    </row>
    <row r="39" spans="1:6">
      <c r="A39" s="379" t="s">
        <v>143</v>
      </c>
      <c r="B39" s="379"/>
      <c r="C39" s="43"/>
      <c r="D39" s="43"/>
      <c r="E39" s="29">
        <f>SUM(E37:E38)</f>
        <v>468.57719999999995</v>
      </c>
      <c r="F39" s="29">
        <f>SUM(F37:F38)</f>
        <v>493.50586666666663</v>
      </c>
    </row>
    <row r="40" spans="1:6">
      <c r="A40" s="4"/>
      <c r="B40" s="4"/>
      <c r="C40" s="4"/>
      <c r="D40" s="4"/>
      <c r="E40" s="4"/>
      <c r="F40" s="4"/>
    </row>
    <row r="41" spans="1:6" ht="15.75" customHeight="1">
      <c r="A41" s="396" t="s">
        <v>43</v>
      </c>
      <c r="B41" s="396"/>
      <c r="C41" s="396"/>
      <c r="D41" s="396"/>
      <c r="E41" s="396"/>
      <c r="F41" s="396"/>
    </row>
    <row r="42" spans="1:6" ht="15.75" customHeight="1">
      <c r="A42" s="375" t="s">
        <v>144</v>
      </c>
      <c r="B42" s="375"/>
      <c r="C42" s="375"/>
      <c r="D42" s="10"/>
      <c r="E42" s="10">
        <f>E31+E39</f>
        <v>2761.7771999999995</v>
      </c>
      <c r="F42" s="10">
        <f>F31+F39</f>
        <v>2908.7058666666662</v>
      </c>
    </row>
    <row r="43" spans="1:6" ht="32.25" customHeight="1">
      <c r="A43" s="41" t="s">
        <v>145</v>
      </c>
      <c r="B43" s="41" t="s">
        <v>146</v>
      </c>
      <c r="C43" s="41" t="s">
        <v>140</v>
      </c>
      <c r="D43" s="41"/>
      <c r="E43" s="41" t="s">
        <v>120</v>
      </c>
      <c r="F43" s="41" t="s">
        <v>120</v>
      </c>
    </row>
    <row r="44" spans="1:6">
      <c r="A44" s="43" t="s">
        <v>121</v>
      </c>
      <c r="B44" s="5" t="s">
        <v>147</v>
      </c>
      <c r="C44" s="27">
        <v>0.2</v>
      </c>
      <c r="D44" s="27"/>
      <c r="E44" s="28">
        <f>E$42*$C$44</f>
        <v>552.35543999999993</v>
      </c>
      <c r="F44" s="28">
        <f>F$42*$C$44</f>
        <v>581.74117333333322</v>
      </c>
    </row>
    <row r="45" spans="1:6">
      <c r="A45" s="43" t="s">
        <v>122</v>
      </c>
      <c r="B45" s="5" t="s">
        <v>148</v>
      </c>
      <c r="C45" s="11">
        <v>2.5000000000000001E-2</v>
      </c>
      <c r="D45" s="11"/>
      <c r="E45" s="28">
        <f>E$42*$C$45</f>
        <v>69.044429999999991</v>
      </c>
      <c r="F45" s="28">
        <f>F$42*$C$45</f>
        <v>72.717646666666653</v>
      </c>
    </row>
    <row r="46" spans="1:6">
      <c r="A46" s="43" t="s">
        <v>124</v>
      </c>
      <c r="B46" s="6" t="s">
        <v>149</v>
      </c>
      <c r="C46" s="47">
        <v>0.03</v>
      </c>
      <c r="D46" s="47"/>
      <c r="E46" s="28">
        <f>E$42*$C$46</f>
        <v>82.853315999999978</v>
      </c>
      <c r="F46" s="28">
        <f>F$42*$C$46</f>
        <v>87.261175999999978</v>
      </c>
    </row>
    <row r="47" spans="1:6">
      <c r="A47" s="43" t="s">
        <v>126</v>
      </c>
      <c r="B47" s="5" t="s">
        <v>150</v>
      </c>
      <c r="C47" s="11">
        <v>1.4999999999999999E-2</v>
      </c>
      <c r="D47" s="11"/>
      <c r="E47" s="28">
        <f>E$42*$C$47</f>
        <v>41.426657999999989</v>
      </c>
      <c r="F47" s="28">
        <f>F$42*$C$47</f>
        <v>43.630587999999989</v>
      </c>
    </row>
    <row r="48" spans="1:6">
      <c r="A48" s="43" t="s">
        <v>128</v>
      </c>
      <c r="B48" s="5" t="s">
        <v>151</v>
      </c>
      <c r="C48" s="11">
        <v>0.01</v>
      </c>
      <c r="D48" s="11"/>
      <c r="E48" s="28">
        <f>E$42*$C$48</f>
        <v>27.617771999999995</v>
      </c>
      <c r="F48" s="28">
        <f>F$42*$C$48</f>
        <v>29.087058666666664</v>
      </c>
    </row>
    <row r="49" spans="1:6">
      <c r="A49" s="43" t="s">
        <v>130</v>
      </c>
      <c r="B49" s="5" t="s">
        <v>152</v>
      </c>
      <c r="C49" s="11">
        <v>6.0000000000000001E-3</v>
      </c>
      <c r="D49" s="11"/>
      <c r="E49" s="28">
        <f>E$42*$C$49</f>
        <v>16.570663199999998</v>
      </c>
      <c r="F49" s="28">
        <f>F$42*$C$49</f>
        <v>17.452235199999997</v>
      </c>
    </row>
    <row r="50" spans="1:6">
      <c r="A50" s="43" t="s">
        <v>132</v>
      </c>
      <c r="B50" s="5" t="s">
        <v>153</v>
      </c>
      <c r="C50" s="11">
        <v>2E-3</v>
      </c>
      <c r="D50" s="11"/>
      <c r="E50" s="28">
        <f>E$42*$C$50</f>
        <v>5.5235543999999992</v>
      </c>
      <c r="F50" s="28">
        <f>F$42*$C$50</f>
        <v>5.8174117333333326</v>
      </c>
    </row>
    <row r="51" spans="1:6">
      <c r="A51" s="43" t="s">
        <v>134</v>
      </c>
      <c r="B51" s="5" t="s">
        <v>154</v>
      </c>
      <c r="C51" s="11">
        <v>0.08</v>
      </c>
      <c r="D51" s="11"/>
      <c r="E51" s="28">
        <f>E$42*$C$51</f>
        <v>220.94217599999996</v>
      </c>
      <c r="F51" s="28">
        <f>F$42*$C$51</f>
        <v>232.69646933333331</v>
      </c>
    </row>
    <row r="52" spans="1:6">
      <c r="A52" s="379" t="s">
        <v>155</v>
      </c>
      <c r="B52" s="379"/>
      <c r="C52" s="13">
        <f>SUM(C44:C51)</f>
        <v>0.36800000000000005</v>
      </c>
      <c r="D52" s="13"/>
      <c r="E52" s="29">
        <f>SUM(E44:E51)</f>
        <v>1016.3340095999997</v>
      </c>
      <c r="F52" s="29">
        <f t="shared" ref="F52" si="0">SUM(F44:F51)</f>
        <v>1070.4037589333329</v>
      </c>
    </row>
    <row r="53" spans="1:6" ht="8.25" customHeight="1">
      <c r="A53" s="14"/>
      <c r="B53" s="14"/>
      <c r="C53" s="14"/>
      <c r="D53" s="14"/>
      <c r="E53" s="14"/>
      <c r="F53" s="14"/>
    </row>
    <row r="54" spans="1:6">
      <c r="A54" s="343" t="s">
        <v>44</v>
      </c>
      <c r="B54" s="343"/>
      <c r="C54" s="343"/>
      <c r="D54" s="343"/>
      <c r="E54" s="343"/>
      <c r="F54" s="343"/>
    </row>
    <row r="55" spans="1:6">
      <c r="A55" s="41" t="s">
        <v>156</v>
      </c>
      <c r="B55" s="373" t="s">
        <v>157</v>
      </c>
      <c r="C55" s="374"/>
      <c r="D55" s="41"/>
      <c r="E55" s="41" t="s">
        <v>120</v>
      </c>
      <c r="F55" s="41" t="s">
        <v>120</v>
      </c>
    </row>
    <row r="56" spans="1:6">
      <c r="A56" s="43" t="s">
        <v>121</v>
      </c>
      <c r="B56" s="371" t="s">
        <v>158</v>
      </c>
      <c r="C56" s="372"/>
      <c r="D56" s="50"/>
      <c r="E56" s="64">
        <f>DADOS_BASICOS!$E$34-(MARINGA!E$23*DADOS_BASICOS!$F$34)</f>
        <v>105.36</v>
      </c>
      <c r="F56" s="64">
        <f>DADOS_BASICOS!$E$34-(MARINGA!F$23*DADOS_BASICOS!$F$34)</f>
        <v>105.36</v>
      </c>
    </row>
    <row r="57" spans="1:6">
      <c r="A57" s="15" t="s">
        <v>122</v>
      </c>
      <c r="B57" s="371" t="s">
        <v>159</v>
      </c>
      <c r="C57" s="372">
        <f>DADOS_BASICOS!C22</f>
        <v>805</v>
      </c>
      <c r="D57" s="48"/>
      <c r="E57" s="32">
        <f>DADOS_BASICOS!C22-DADOS_BASICOS!C23</f>
        <v>644</v>
      </c>
      <c r="F57" s="32">
        <f>DADOS_BASICOS!C22-DADOS_BASICOS!C23</f>
        <v>644</v>
      </c>
    </row>
    <row r="58" spans="1:6">
      <c r="A58" s="15" t="s">
        <v>124</v>
      </c>
      <c r="B58" s="371" t="s">
        <v>94</v>
      </c>
      <c r="C58" s="372">
        <f>DADOS_BASICOS!C26</f>
        <v>28</v>
      </c>
      <c r="D58" s="48"/>
      <c r="E58" s="32">
        <f>$C$58</f>
        <v>28</v>
      </c>
      <c r="F58" s="32">
        <f>$C$58</f>
        <v>28</v>
      </c>
    </row>
    <row r="59" spans="1:6">
      <c r="A59" s="15" t="s">
        <v>126</v>
      </c>
      <c r="B59" s="371" t="s">
        <v>92</v>
      </c>
      <c r="C59" s="372">
        <f>DADOS_BASICOS!C25</f>
        <v>87.5</v>
      </c>
      <c r="D59" s="48"/>
      <c r="E59" s="32">
        <f>$C$59</f>
        <v>87.5</v>
      </c>
      <c r="F59" s="32">
        <f>$C$59</f>
        <v>87.5</v>
      </c>
    </row>
    <row r="60" spans="1:6">
      <c r="A60" s="15" t="s">
        <v>128</v>
      </c>
      <c r="B60" s="371" t="s">
        <v>160</v>
      </c>
      <c r="C60" s="372"/>
      <c r="D60" s="39"/>
      <c r="E60" s="32">
        <v>0</v>
      </c>
      <c r="F60" s="32">
        <v>0</v>
      </c>
    </row>
    <row r="61" spans="1:6">
      <c r="A61" s="15" t="s">
        <v>130</v>
      </c>
      <c r="B61" s="371" t="s">
        <v>161</v>
      </c>
      <c r="C61" s="372"/>
      <c r="D61" s="42"/>
      <c r="E61" s="33">
        <v>0</v>
      </c>
      <c r="F61" s="33">
        <v>0</v>
      </c>
    </row>
    <row r="62" spans="1:6">
      <c r="A62" s="379" t="s">
        <v>136</v>
      </c>
      <c r="B62" s="379"/>
      <c r="C62" s="379"/>
      <c r="D62" s="37"/>
      <c r="E62" s="126">
        <f>SUM(E56:E61)</f>
        <v>864.86</v>
      </c>
      <c r="F62" s="126">
        <f>SUM(F56:F61)</f>
        <v>864.86</v>
      </c>
    </row>
    <row r="63" spans="1:6">
      <c r="A63" s="4"/>
      <c r="B63" s="4"/>
      <c r="C63" s="4"/>
      <c r="D63" s="4"/>
      <c r="E63" s="4"/>
      <c r="F63" s="4"/>
    </row>
    <row r="64" spans="1:6" ht="28.5" customHeight="1">
      <c r="A64" s="343" t="s">
        <v>162</v>
      </c>
      <c r="B64" s="343"/>
      <c r="C64" s="343"/>
      <c r="D64" s="343"/>
      <c r="E64" s="343"/>
      <c r="F64" s="343"/>
    </row>
    <row r="65" spans="1:6" ht="15" customHeight="1">
      <c r="A65" s="4"/>
      <c r="B65" s="4"/>
      <c r="C65" s="4"/>
      <c r="D65" s="4"/>
      <c r="E65" s="4"/>
      <c r="F65" s="4"/>
    </row>
    <row r="66" spans="1:6">
      <c r="A66" s="41">
        <v>2</v>
      </c>
      <c r="B66" s="380" t="s">
        <v>163</v>
      </c>
      <c r="C66" s="380"/>
      <c r="D66" s="83"/>
      <c r="E66" s="41" t="s">
        <v>120</v>
      </c>
      <c r="F66" s="41" t="s">
        <v>120</v>
      </c>
    </row>
    <row r="67" spans="1:6">
      <c r="A67" s="43" t="s">
        <v>138</v>
      </c>
      <c r="B67" s="383" t="s">
        <v>139</v>
      </c>
      <c r="C67" s="383"/>
      <c r="D67" s="35"/>
      <c r="E67" s="84">
        <f>E39</f>
        <v>468.57719999999995</v>
      </c>
      <c r="F67" s="84">
        <f>F39</f>
        <v>493.50586666666663</v>
      </c>
    </row>
    <row r="68" spans="1:6">
      <c r="A68" s="43" t="s">
        <v>145</v>
      </c>
      <c r="B68" s="383" t="s">
        <v>146</v>
      </c>
      <c r="C68" s="383"/>
      <c r="D68" s="35"/>
      <c r="E68" s="85">
        <f>E52</f>
        <v>1016.3340095999997</v>
      </c>
      <c r="F68" s="85">
        <f>F52</f>
        <v>1070.4037589333329</v>
      </c>
    </row>
    <row r="69" spans="1:6">
      <c r="A69" s="43" t="s">
        <v>156</v>
      </c>
      <c r="B69" s="383" t="s">
        <v>157</v>
      </c>
      <c r="C69" s="383"/>
      <c r="D69" s="35"/>
      <c r="E69" s="85">
        <f>E62</f>
        <v>864.86</v>
      </c>
      <c r="F69" s="85">
        <f>F62</f>
        <v>864.86</v>
      </c>
    </row>
    <row r="70" spans="1:6" ht="15.75" customHeight="1">
      <c r="A70" s="379" t="s">
        <v>136</v>
      </c>
      <c r="B70" s="379"/>
      <c r="C70" s="379"/>
      <c r="D70" s="35"/>
      <c r="E70" s="86">
        <f>SUM(E67:E69)</f>
        <v>2349.7712095999996</v>
      </c>
      <c r="F70" s="86">
        <f>SUM(F67:F69)</f>
        <v>2428.7696255999995</v>
      </c>
    </row>
    <row r="71" spans="1:6" ht="17.25" customHeight="1">
      <c r="A71" s="4"/>
      <c r="B71" s="4"/>
      <c r="C71" s="4"/>
      <c r="D71" s="4"/>
      <c r="E71" s="4"/>
      <c r="F71" s="4"/>
    </row>
    <row r="72" spans="1:6" ht="18" hidden="1" customHeight="1">
      <c r="A72" s="4"/>
      <c r="B72" s="4"/>
      <c r="C72" s="4"/>
      <c r="D72" s="4"/>
      <c r="E72" s="4"/>
      <c r="F72" s="4"/>
    </row>
    <row r="73" spans="1:6" ht="18.75" customHeight="1">
      <c r="A73" s="351" t="s">
        <v>45</v>
      </c>
      <c r="B73" s="351"/>
      <c r="C73" s="351"/>
      <c r="D73" s="351"/>
      <c r="E73" s="351"/>
      <c r="F73" s="351"/>
    </row>
    <row r="74" spans="1:6">
      <c r="A74" s="381" t="s">
        <v>164</v>
      </c>
      <c r="B74" s="381"/>
      <c r="C74" s="381"/>
      <c r="D74" s="16"/>
      <c r="E74" s="16">
        <f>E31+E70-SUM(E44:E50)</f>
        <v>3847.5793759999997</v>
      </c>
      <c r="F74" s="16">
        <f>F31+F70-SUM(F44:F50)</f>
        <v>4006.2623359999989</v>
      </c>
    </row>
    <row r="75" spans="1:6">
      <c r="A75" s="375" t="s">
        <v>165</v>
      </c>
      <c r="B75" s="375"/>
      <c r="C75" s="375"/>
      <c r="D75" s="16"/>
      <c r="E75" s="16">
        <f>E31+E70</f>
        <v>4642.9712095999994</v>
      </c>
      <c r="F75" s="16">
        <f>F31+F70</f>
        <v>4843.9696255999988</v>
      </c>
    </row>
    <row r="76" spans="1:6">
      <c r="A76" s="41">
        <v>3</v>
      </c>
      <c r="B76" s="41" t="s">
        <v>166</v>
      </c>
      <c r="C76" s="41" t="s">
        <v>167</v>
      </c>
      <c r="D76" s="41"/>
      <c r="E76" s="41" t="s">
        <v>120</v>
      </c>
      <c r="F76" s="41" t="s">
        <v>120</v>
      </c>
    </row>
    <row r="77" spans="1:6">
      <c r="A77" s="43" t="s">
        <v>121</v>
      </c>
      <c r="B77" s="58" t="s">
        <v>168</v>
      </c>
      <c r="C77" s="80">
        <f>(1/12)*5%</f>
        <v>4.1666666666666666E-3</v>
      </c>
      <c r="D77" s="80"/>
      <c r="E77" s="33">
        <f>E74*$C$77</f>
        <v>16.031580733333332</v>
      </c>
      <c r="F77" s="33">
        <f>F74*$C$77</f>
        <v>16.692759733333329</v>
      </c>
    </row>
    <row r="78" spans="1:6">
      <c r="A78" s="43" t="s">
        <v>122</v>
      </c>
      <c r="B78" s="17" t="s">
        <v>169</v>
      </c>
      <c r="C78" s="34">
        <v>0.08</v>
      </c>
      <c r="D78" s="34"/>
      <c r="E78" s="9">
        <f>E77*$C$78</f>
        <v>1.2825264586666665</v>
      </c>
      <c r="F78" s="9">
        <f>F77*$C$78</f>
        <v>1.3354207786666663</v>
      </c>
    </row>
    <row r="79" spans="1:6">
      <c r="A79" s="43" t="s">
        <v>124</v>
      </c>
      <c r="B79" s="17" t="s">
        <v>170</v>
      </c>
      <c r="C79" s="18">
        <v>0.02</v>
      </c>
      <c r="D79" s="18"/>
      <c r="E79" s="9">
        <f>$C$79*E77</f>
        <v>0.32063161466666662</v>
      </c>
      <c r="F79" s="9">
        <f>$C$79*F77</f>
        <v>0.33385519466666658</v>
      </c>
    </row>
    <row r="80" spans="1:6">
      <c r="A80" s="43" t="s">
        <v>126</v>
      </c>
      <c r="B80" s="17" t="s">
        <v>171</v>
      </c>
      <c r="C80" s="80">
        <f>7/30/12</f>
        <v>1.9444444444444445E-2</v>
      </c>
      <c r="D80" s="80"/>
      <c r="E80" s="9">
        <f>E75*$C$80</f>
        <v>90.279995742222212</v>
      </c>
      <c r="F80" s="9">
        <f>F75*$C$80</f>
        <v>94.188298275555539</v>
      </c>
    </row>
    <row r="81" spans="1:6">
      <c r="A81" s="43" t="s">
        <v>128</v>
      </c>
      <c r="B81" s="17" t="s">
        <v>172</v>
      </c>
      <c r="C81" s="34">
        <f>$C$52</f>
        <v>0.36800000000000005</v>
      </c>
      <c r="D81" s="34"/>
      <c r="E81" s="9">
        <f>E80*$C$81</f>
        <v>33.223038433137781</v>
      </c>
      <c r="F81" s="9">
        <f>F80*$C$81</f>
        <v>34.661293765404444</v>
      </c>
    </row>
    <row r="82" spans="1:6">
      <c r="A82" s="43" t="s">
        <v>130</v>
      </c>
      <c r="B82" s="17" t="s">
        <v>173</v>
      </c>
      <c r="C82" s="18">
        <v>0.02</v>
      </c>
      <c r="D82" s="18"/>
      <c r="E82" s="9">
        <f>E80*$C$82</f>
        <v>1.8055999148444444</v>
      </c>
      <c r="F82" s="9">
        <f>F80*$C$82</f>
        <v>1.8837659655111108</v>
      </c>
    </row>
    <row r="83" spans="1:6">
      <c r="A83" s="379" t="s">
        <v>136</v>
      </c>
      <c r="B83" s="379"/>
      <c r="C83" s="18"/>
      <c r="D83" s="18"/>
      <c r="E83" s="29">
        <f>SUM(E77:E82)</f>
        <v>142.9433728968711</v>
      </c>
      <c r="F83" s="29">
        <f>SUM(F77:F82)</f>
        <v>149.09539371313775</v>
      </c>
    </row>
    <row r="84" spans="1:6">
      <c r="A84" s="4"/>
      <c r="B84" s="4"/>
      <c r="C84" s="4"/>
      <c r="D84" s="4"/>
      <c r="E84" s="4"/>
      <c r="F84" s="4"/>
    </row>
    <row r="85" spans="1:6">
      <c r="A85" s="351" t="s">
        <v>46</v>
      </c>
      <c r="B85" s="351"/>
      <c r="C85" s="351"/>
      <c r="D85" s="351"/>
      <c r="E85" s="351"/>
      <c r="F85" s="351"/>
    </row>
    <row r="86" spans="1:6">
      <c r="A86" s="343" t="s">
        <v>47</v>
      </c>
      <c r="B86" s="343"/>
      <c r="C86" s="343"/>
      <c r="D86" s="343"/>
      <c r="E86" s="343"/>
      <c r="F86" s="343"/>
    </row>
    <row r="87" spans="1:6">
      <c r="A87" s="3"/>
      <c r="B87" s="3"/>
      <c r="C87" s="3"/>
      <c r="D87" s="3"/>
      <c r="E87" s="3"/>
      <c r="F87" s="3"/>
    </row>
    <row r="88" spans="1:6">
      <c r="A88" s="375" t="s">
        <v>174</v>
      </c>
      <c r="B88" s="375"/>
      <c r="C88" s="375"/>
      <c r="D88" s="10"/>
      <c r="E88" s="10">
        <f>E31+E70+E83</f>
        <v>4785.9145824968709</v>
      </c>
      <c r="F88" s="10">
        <f t="shared" ref="F88" si="1">F31+F70+F83</f>
        <v>4993.0650193131369</v>
      </c>
    </row>
    <row r="89" spans="1:6" ht="12.75" customHeight="1">
      <c r="A89" s="41" t="s">
        <v>175</v>
      </c>
      <c r="B89" s="41" t="s">
        <v>176</v>
      </c>
      <c r="C89" s="41" t="s">
        <v>177</v>
      </c>
      <c r="D89" s="41"/>
      <c r="E89" s="41" t="s">
        <v>120</v>
      </c>
      <c r="F89" s="41" t="s">
        <v>120</v>
      </c>
    </row>
    <row r="90" spans="1:6" ht="31.5" customHeight="1">
      <c r="A90" s="25" t="s">
        <v>121</v>
      </c>
      <c r="B90" s="59" t="s">
        <v>178</v>
      </c>
      <c r="C90" s="81">
        <f>(1+1/3)/12/12</f>
        <v>9.2592592592592587E-3</v>
      </c>
      <c r="D90" s="81"/>
      <c r="E90" s="60">
        <f>E88*$C$90</f>
        <v>44.314023912008061</v>
      </c>
      <c r="F90" s="60">
        <f t="shared" ref="F90" si="2">F88*$C$90</f>
        <v>46.232083512158674</v>
      </c>
    </row>
    <row r="91" spans="1:6">
      <c r="A91" s="25" t="s">
        <v>122</v>
      </c>
      <c r="B91" s="59" t="s">
        <v>179</v>
      </c>
      <c r="C91" s="82">
        <f>((2/30/12))</f>
        <v>5.5555555555555558E-3</v>
      </c>
      <c r="D91" s="82"/>
      <c r="E91" s="60">
        <f>E88*$C$91</f>
        <v>26.588414347204839</v>
      </c>
      <c r="F91" s="60">
        <f t="shared" ref="F91" si="3">F88*$C$91</f>
        <v>27.739250107295206</v>
      </c>
    </row>
    <row r="92" spans="1:6">
      <c r="A92" s="25" t="s">
        <v>124</v>
      </c>
      <c r="B92" s="59" t="s">
        <v>180</v>
      </c>
      <c r="C92" s="47">
        <f>((15/30/12)*0.0078)</f>
        <v>3.2499999999999999E-4</v>
      </c>
      <c r="D92" s="47"/>
      <c r="E92" s="60">
        <f>E88*$C$92</f>
        <v>1.5554222393114829</v>
      </c>
      <c r="F92" s="60">
        <f t="shared" ref="F92" si="4">F88*$C$92</f>
        <v>1.6227461312767695</v>
      </c>
    </row>
    <row r="93" spans="1:6" ht="14.4" customHeight="1">
      <c r="A93" s="25" t="s">
        <v>126</v>
      </c>
      <c r="B93" s="59" t="s">
        <v>181</v>
      </c>
      <c r="C93" s="82">
        <f>(5/30/12)*0.02</f>
        <v>2.7777777777777778E-4</v>
      </c>
      <c r="D93" s="82"/>
      <c r="E93" s="60">
        <f>E88*$C$93</f>
        <v>1.3294207173602419</v>
      </c>
      <c r="F93" s="60">
        <f t="shared" ref="F93" si="5">F88*$C$93</f>
        <v>1.3869625053647603</v>
      </c>
    </row>
    <row r="94" spans="1:6">
      <c r="A94" s="25" t="s">
        <v>128</v>
      </c>
      <c r="B94" s="59" t="s">
        <v>182</v>
      </c>
      <c r="C94" s="82">
        <f>(4/12)/12*0.02</f>
        <v>5.5555555555555556E-4</v>
      </c>
      <c r="D94" s="82"/>
      <c r="E94" s="60">
        <f>E88*$C$94</f>
        <v>2.6588414347204838</v>
      </c>
      <c r="F94" s="60">
        <f t="shared" ref="F94" si="6">F88*$C$94</f>
        <v>2.7739250107295206</v>
      </c>
    </row>
    <row r="95" spans="1:6">
      <c r="A95" s="25" t="s">
        <v>130</v>
      </c>
      <c r="B95" s="59" t="s">
        <v>183</v>
      </c>
      <c r="C95" s="47">
        <f>(5/30)/12</f>
        <v>1.3888888888888888E-2</v>
      </c>
      <c r="D95" s="47"/>
      <c r="E95" s="60">
        <f>E88*$C$95</f>
        <v>66.471035868012095</v>
      </c>
      <c r="F95" s="60">
        <f t="shared" ref="F95" si="7">F88*$C$95</f>
        <v>69.348125268238007</v>
      </c>
    </row>
    <row r="96" spans="1:6">
      <c r="A96" s="25" t="s">
        <v>132</v>
      </c>
      <c r="B96" s="59" t="s">
        <v>184</v>
      </c>
      <c r="C96" s="47">
        <v>0</v>
      </c>
      <c r="D96" s="47"/>
      <c r="E96" s="60">
        <f>E88*$C$96</f>
        <v>0</v>
      </c>
      <c r="F96" s="60">
        <f t="shared" ref="F96" si="8">F88*$C$96</f>
        <v>0</v>
      </c>
    </row>
    <row r="97" spans="1:6">
      <c r="A97" s="376" t="s">
        <v>185</v>
      </c>
      <c r="B97" s="377"/>
      <c r="C97" s="378"/>
      <c r="D97" s="71"/>
      <c r="E97" s="29">
        <f>SUM(E90:E96)</f>
        <v>142.91715851861721</v>
      </c>
      <c r="F97" s="29">
        <f>SUM(F90:F96)</f>
        <v>149.10309253506296</v>
      </c>
    </row>
    <row r="98" spans="1:6">
      <c r="A98" s="31"/>
      <c r="B98" s="31"/>
      <c r="C98" s="31"/>
      <c r="D98" s="31"/>
      <c r="E98" s="31"/>
      <c r="F98" s="31"/>
    </row>
    <row r="99" spans="1:6">
      <c r="A99" s="370" t="s">
        <v>48</v>
      </c>
      <c r="B99" s="370"/>
      <c r="C99" s="370"/>
      <c r="D99" s="370"/>
      <c r="E99" s="370"/>
      <c r="F99" s="74"/>
    </row>
    <row r="100" spans="1:6">
      <c r="A100" s="399" t="s">
        <v>186</v>
      </c>
      <c r="B100" s="399"/>
      <c r="C100" s="399"/>
      <c r="D100" s="49"/>
      <c r="E100" s="98">
        <f>E31+E70+E83</f>
        <v>4785.9145824968709</v>
      </c>
      <c r="F100" s="98">
        <f>F31+F70+F83</f>
        <v>4993.0650193131369</v>
      </c>
    </row>
    <row r="101" spans="1:6" ht="68.25" customHeight="1">
      <c r="A101" s="20" t="s">
        <v>187</v>
      </c>
      <c r="B101" s="387" t="s">
        <v>188</v>
      </c>
      <c r="C101" s="387"/>
      <c r="D101" s="87"/>
      <c r="E101" s="73" t="s">
        <v>120</v>
      </c>
      <c r="F101" s="73" t="s">
        <v>120</v>
      </c>
    </row>
    <row r="102" spans="1:6">
      <c r="A102" s="21" t="s">
        <v>121</v>
      </c>
      <c r="B102" s="398" t="s">
        <v>189</v>
      </c>
      <c r="C102" s="398"/>
      <c r="D102" s="35"/>
      <c r="E102" s="85"/>
      <c r="F102" s="85"/>
    </row>
    <row r="103" spans="1:6" ht="15.75" customHeight="1">
      <c r="A103" s="384" t="s">
        <v>136</v>
      </c>
      <c r="B103" s="384"/>
      <c r="C103" s="384"/>
      <c r="D103" s="35"/>
      <c r="E103" s="86">
        <f>E102</f>
        <v>0</v>
      </c>
      <c r="F103" s="86">
        <f>F102</f>
        <v>0</v>
      </c>
    </row>
    <row r="104" spans="1:6" ht="30" customHeight="1">
      <c r="A104" s="26"/>
      <c r="B104" s="4"/>
      <c r="C104" s="4"/>
      <c r="D104" s="4"/>
      <c r="E104" s="4"/>
      <c r="F104" s="4"/>
    </row>
    <row r="105" spans="1:6">
      <c r="A105" s="397" t="s">
        <v>190</v>
      </c>
      <c r="B105" s="397"/>
      <c r="C105" s="397"/>
      <c r="D105" s="397"/>
      <c r="E105" s="397"/>
      <c r="F105" s="397"/>
    </row>
    <row r="106" spans="1:6">
      <c r="A106" s="41">
        <v>4</v>
      </c>
      <c r="B106" s="387" t="s">
        <v>191</v>
      </c>
      <c r="C106" s="387"/>
      <c r="D106" s="87"/>
      <c r="E106" s="41" t="s">
        <v>120</v>
      </c>
      <c r="F106" s="41" t="s">
        <v>120</v>
      </c>
    </row>
    <row r="107" spans="1:6">
      <c r="A107" s="43" t="s">
        <v>175</v>
      </c>
      <c r="B107" s="386" t="s">
        <v>192</v>
      </c>
      <c r="C107" s="386"/>
      <c r="D107" s="35"/>
      <c r="E107" s="85">
        <f>E97</f>
        <v>142.91715851861721</v>
      </c>
      <c r="F107" s="85">
        <f t="shared" ref="F107" si="9">F97</f>
        <v>149.10309253506296</v>
      </c>
    </row>
    <row r="108" spans="1:6">
      <c r="A108" s="43" t="s">
        <v>187</v>
      </c>
      <c r="B108" s="386" t="s">
        <v>193</v>
      </c>
      <c r="C108" s="386"/>
      <c r="D108" s="35"/>
      <c r="E108" s="85">
        <f>E103</f>
        <v>0</v>
      </c>
      <c r="F108" s="85">
        <f t="shared" ref="F108" si="10">F103</f>
        <v>0</v>
      </c>
    </row>
    <row r="109" spans="1:6">
      <c r="A109" s="384" t="s">
        <v>136</v>
      </c>
      <c r="B109" s="384"/>
      <c r="C109" s="384"/>
      <c r="D109" s="35"/>
      <c r="E109" s="86">
        <f>SUM(E107:E108)</f>
        <v>142.91715851861721</v>
      </c>
      <c r="F109" s="86">
        <f t="shared" ref="F109" si="11">SUM(F107:F108)</f>
        <v>149.10309253506296</v>
      </c>
    </row>
    <row r="110" spans="1:6">
      <c r="A110" s="4"/>
      <c r="B110" s="4"/>
      <c r="C110" s="4"/>
      <c r="D110" s="4"/>
      <c r="E110" s="4"/>
      <c r="F110" s="4"/>
    </row>
    <row r="111" spans="1:6">
      <c r="A111" s="4"/>
      <c r="B111" s="4"/>
      <c r="C111" s="4"/>
      <c r="D111" s="4"/>
      <c r="E111" s="4"/>
      <c r="F111" s="4"/>
    </row>
    <row r="112" spans="1:6">
      <c r="A112" s="351" t="s">
        <v>50</v>
      </c>
      <c r="B112" s="351"/>
      <c r="C112" s="351"/>
      <c r="D112" s="351"/>
      <c r="E112" s="351"/>
      <c r="F112" s="351"/>
    </row>
    <row r="113" spans="1:6">
      <c r="A113" s="41">
        <v>5</v>
      </c>
      <c r="B113" s="387" t="s">
        <v>194</v>
      </c>
      <c r="C113" s="387"/>
      <c r="D113" s="87"/>
      <c r="E113" s="41" t="s">
        <v>120</v>
      </c>
      <c r="F113" s="41" t="s">
        <v>120</v>
      </c>
    </row>
    <row r="114" spans="1:6" s="234" customFormat="1">
      <c r="A114" s="15" t="s">
        <v>121</v>
      </c>
      <c r="B114" s="386" t="s">
        <v>195</v>
      </c>
      <c r="C114" s="386"/>
      <c r="D114" s="228"/>
      <c r="E114" s="229">
        <f>UNIFORMES!$F$18</f>
        <v>71.998888888888885</v>
      </c>
      <c r="F114" s="229">
        <f>UNIFORMES!F47</f>
        <v>80.668888888888887</v>
      </c>
    </row>
    <row r="115" spans="1:6" s="234" customFormat="1">
      <c r="A115" s="15" t="s">
        <v>122</v>
      </c>
      <c r="B115" s="386" t="s">
        <v>41</v>
      </c>
      <c r="C115" s="386"/>
      <c r="D115" s="228"/>
      <c r="E115" s="229">
        <f>EQUIPAMENTOS!$U$24</f>
        <v>14.477503500000003</v>
      </c>
      <c r="F115" s="229">
        <f>EQUIPAMENTOS!$U$24</f>
        <v>14.477503500000003</v>
      </c>
    </row>
    <row r="116" spans="1:6" s="234" customFormat="1">
      <c r="A116" s="15" t="s">
        <v>124</v>
      </c>
      <c r="B116" s="386" t="s">
        <v>196</v>
      </c>
      <c r="C116" s="386"/>
      <c r="D116" s="228"/>
      <c r="E116" s="229">
        <f>UTENSÍLIOS!$T$76</f>
        <v>130.9846666666667</v>
      </c>
      <c r="F116" s="229">
        <f>UTENSÍLIOS!$T$76</f>
        <v>130.9846666666667</v>
      </c>
    </row>
    <row r="117" spans="1:6" s="234" customFormat="1">
      <c r="A117" s="15" t="s">
        <v>126</v>
      </c>
      <c r="B117" s="386" t="s">
        <v>197</v>
      </c>
      <c r="C117" s="386"/>
      <c r="D117" s="228"/>
      <c r="E117" s="229">
        <f>INSUMOS!$T$52</f>
        <v>370.19600000000008</v>
      </c>
      <c r="F117" s="229">
        <f>INSUMOS!$T$52</f>
        <v>370.19600000000008</v>
      </c>
    </row>
    <row r="118" spans="1:6" s="234" customFormat="1">
      <c r="A118" s="15" t="s">
        <v>128</v>
      </c>
      <c r="B118" s="386" t="s">
        <v>198</v>
      </c>
      <c r="C118" s="386"/>
      <c r="D118" s="228"/>
      <c r="E118" s="229"/>
      <c r="F118" s="229"/>
    </row>
    <row r="119" spans="1:6" s="234" customFormat="1">
      <c r="A119" s="384" t="s">
        <v>155</v>
      </c>
      <c r="B119" s="384"/>
      <c r="C119" s="384"/>
      <c r="D119" s="228"/>
      <c r="E119" s="230">
        <f>SUM(E114:E118)</f>
        <v>587.65705905555569</v>
      </c>
      <c r="F119" s="230">
        <f>SUM(F114:F118)</f>
        <v>596.32705905555565</v>
      </c>
    </row>
    <row r="120" spans="1:6" s="234" customFormat="1">
      <c r="A120" s="235"/>
      <c r="B120" s="235"/>
      <c r="C120" s="235"/>
      <c r="D120" s="235"/>
      <c r="E120" s="235"/>
      <c r="F120" s="235"/>
    </row>
    <row r="121" spans="1:6">
      <c r="A121" s="351" t="s">
        <v>51</v>
      </c>
      <c r="B121" s="351"/>
      <c r="C121" s="351"/>
      <c r="D121" s="351"/>
      <c r="E121" s="351"/>
      <c r="F121" s="351"/>
    </row>
    <row r="122" spans="1:6">
      <c r="A122" s="3"/>
      <c r="B122" s="381" t="s">
        <v>199</v>
      </c>
      <c r="C122" s="381"/>
      <c r="D122" s="72"/>
      <c r="E122" s="10">
        <f>E31+E70+E83+E109+E119</f>
        <v>5516.4888000710434</v>
      </c>
      <c r="F122" s="10">
        <f t="shared" ref="F122" si="12">F31+F70+F83+F109+F119</f>
        <v>5738.4951709037559</v>
      </c>
    </row>
    <row r="123" spans="1:6">
      <c r="A123" s="3"/>
      <c r="B123" s="381" t="s">
        <v>200</v>
      </c>
      <c r="C123" s="381"/>
      <c r="D123" s="72"/>
      <c r="E123" s="10">
        <f>E122+E126</f>
        <v>5670.9504864730325</v>
      </c>
      <c r="F123" s="10">
        <f t="shared" ref="F123" si="13">F122+F126</f>
        <v>5899.1730356890612</v>
      </c>
    </row>
    <row r="124" spans="1:6">
      <c r="A124" s="3"/>
      <c r="B124" s="381" t="s">
        <v>201</v>
      </c>
      <c r="C124" s="381"/>
      <c r="D124" s="72"/>
      <c r="E124" s="10">
        <f>(E123+E127)/(1-E128)</f>
        <v>6668.779267226806</v>
      </c>
      <c r="F124" s="10">
        <f>(F123+F127)/(1-F128)</f>
        <v>6937.1585817977693</v>
      </c>
    </row>
    <row r="125" spans="1:6">
      <c r="A125" s="41">
        <v>6</v>
      </c>
      <c r="B125" s="41" t="s">
        <v>202</v>
      </c>
      <c r="C125" s="41" t="s">
        <v>140</v>
      </c>
      <c r="D125" s="41"/>
      <c r="E125" s="41" t="s">
        <v>120</v>
      </c>
      <c r="F125" s="41" t="s">
        <v>120</v>
      </c>
    </row>
    <row r="126" spans="1:6">
      <c r="A126" s="43" t="s">
        <v>121</v>
      </c>
      <c r="B126" s="6" t="s">
        <v>203</v>
      </c>
      <c r="C126" s="47" t="s">
        <v>52</v>
      </c>
      <c r="D126" s="47"/>
      <c r="E126" s="22">
        <f>E122*DADOS_BASICOS!B45</f>
        <v>154.46168640198923</v>
      </c>
      <c r="F126" s="22">
        <f>F122*DADOS_BASICOS!D45</f>
        <v>160.67786478530516</v>
      </c>
    </row>
    <row r="127" spans="1:6">
      <c r="A127" s="43" t="s">
        <v>122</v>
      </c>
      <c r="B127" s="6" t="s">
        <v>204</v>
      </c>
      <c r="C127" s="47" t="s">
        <v>52</v>
      </c>
      <c r="D127" s="47"/>
      <c r="E127" s="22">
        <f>E123*DADOS_BASICOS!B55</f>
        <v>180.90332051848972</v>
      </c>
      <c r="F127" s="22">
        <f>F123*DADOS_BASICOS!D55</f>
        <v>188.18361983848104</v>
      </c>
    </row>
    <row r="128" spans="1:6">
      <c r="A128" s="43" t="s">
        <v>124</v>
      </c>
      <c r="B128" s="5" t="s">
        <v>205</v>
      </c>
      <c r="C128" s="18"/>
      <c r="D128" s="18"/>
      <c r="E128" s="224">
        <f>SUM($C$129:$C$131,$C$133,DADOS_BASICOS!B65)</f>
        <v>0.1225</v>
      </c>
      <c r="F128" s="224">
        <f>SUM($C$129:$C$131,$C$133,DADOS_BASICOS!D65)</f>
        <v>0.1225</v>
      </c>
    </row>
    <row r="129" spans="1:6" ht="31.5" customHeight="1">
      <c r="A129" s="43"/>
      <c r="B129" s="5" t="s">
        <v>206</v>
      </c>
      <c r="C129" s="18">
        <v>7.5999999999999998E-2</v>
      </c>
      <c r="D129" s="18"/>
      <c r="E129" s="22">
        <f>E124*$C$129</f>
        <v>506.82722430923724</v>
      </c>
      <c r="F129" s="22">
        <f>F124*$C$129</f>
        <v>527.22405221663041</v>
      </c>
    </row>
    <row r="130" spans="1:6">
      <c r="A130" s="43"/>
      <c r="B130" s="5" t="s">
        <v>207</v>
      </c>
      <c r="C130" s="18">
        <v>1.6500000000000001E-2</v>
      </c>
      <c r="D130" s="18"/>
      <c r="E130" s="22">
        <f>E124*$C$130</f>
        <v>110.03485790924231</v>
      </c>
      <c r="F130" s="22">
        <f>F124*$C$130</f>
        <v>114.46311659966319</v>
      </c>
    </row>
    <row r="131" spans="1:6">
      <c r="A131" s="43"/>
      <c r="B131" s="5" t="s">
        <v>208</v>
      </c>
      <c r="C131" s="18"/>
      <c r="D131" s="18"/>
      <c r="E131" s="22">
        <f>E124*$C$131</f>
        <v>0</v>
      </c>
      <c r="F131" s="22">
        <f>F124*$C$131</f>
        <v>0</v>
      </c>
    </row>
    <row r="132" spans="1:6">
      <c r="A132" s="43"/>
      <c r="B132" s="5" t="s">
        <v>209</v>
      </c>
      <c r="C132" s="34" t="s">
        <v>52</v>
      </c>
      <c r="D132" s="34"/>
      <c r="E132" s="22">
        <f>E124*DADOS_BASICOS!B65</f>
        <v>200.06337801680417</v>
      </c>
      <c r="F132" s="22">
        <f>F124*DADOS_BASICOS!D65</f>
        <v>208.11475745393307</v>
      </c>
    </row>
    <row r="133" spans="1:6" ht="31.2">
      <c r="A133" s="43"/>
      <c r="B133" s="6" t="s">
        <v>210</v>
      </c>
      <c r="C133" s="34"/>
      <c r="D133" s="34"/>
      <c r="E133" s="22"/>
      <c r="F133" s="22"/>
    </row>
    <row r="134" spans="1:6">
      <c r="A134" s="319" t="s">
        <v>143</v>
      </c>
      <c r="B134" s="319"/>
      <c r="C134" s="18"/>
      <c r="D134" s="18"/>
      <c r="E134" s="30">
        <f>SUM(E126:E127,E129:E133)</f>
        <v>1152.2904671557626</v>
      </c>
      <c r="F134" s="30">
        <f>SUM(F126:F127,F129:F133)</f>
        <v>1198.6634108940129</v>
      </c>
    </row>
    <row r="135" spans="1:6" ht="14.4" customHeight="1">
      <c r="A135" s="4"/>
      <c r="B135" s="4"/>
      <c r="C135" s="4"/>
      <c r="D135" s="4"/>
      <c r="E135" s="4"/>
      <c r="F135" s="4"/>
    </row>
    <row r="136" spans="1:6">
      <c r="A136" s="351" t="s">
        <v>211</v>
      </c>
      <c r="B136" s="351"/>
      <c r="C136" s="351"/>
      <c r="D136" s="351"/>
      <c r="E136" s="351"/>
      <c r="F136" s="351"/>
    </row>
    <row r="137" spans="1:6">
      <c r="A137" s="4"/>
      <c r="B137" s="4"/>
      <c r="C137" s="4"/>
      <c r="D137" s="4"/>
      <c r="E137" s="4"/>
      <c r="F137" s="4"/>
    </row>
    <row r="138" spans="1:6">
      <c r="A138" s="41"/>
      <c r="B138" s="380" t="s">
        <v>212</v>
      </c>
      <c r="C138" s="380"/>
      <c r="D138" s="83"/>
      <c r="E138" s="41" t="s">
        <v>120</v>
      </c>
      <c r="F138" s="41" t="s">
        <v>120</v>
      </c>
    </row>
    <row r="139" spans="1:6">
      <c r="A139" s="37" t="s">
        <v>121</v>
      </c>
      <c r="B139" s="383" t="s">
        <v>118</v>
      </c>
      <c r="C139" s="383"/>
      <c r="D139" s="85"/>
      <c r="E139" s="85">
        <f>E31</f>
        <v>2293.1999999999998</v>
      </c>
      <c r="F139" s="85">
        <f>F31</f>
        <v>2415.1999999999998</v>
      </c>
    </row>
    <row r="140" spans="1:6" ht="19.5" customHeight="1">
      <c r="A140" s="37" t="s">
        <v>122</v>
      </c>
      <c r="B140" s="383" t="s">
        <v>137</v>
      </c>
      <c r="C140" s="383"/>
      <c r="D140" s="35"/>
      <c r="E140" s="85">
        <f>E70</f>
        <v>2349.7712095999996</v>
      </c>
      <c r="F140" s="85">
        <f>F70</f>
        <v>2428.7696255999995</v>
      </c>
    </row>
    <row r="141" spans="1:6" s="90" customFormat="1">
      <c r="A141" s="231" t="s">
        <v>124</v>
      </c>
      <c r="B141" s="220" t="s">
        <v>45</v>
      </c>
      <c r="C141" s="96"/>
      <c r="D141" s="96"/>
      <c r="E141" s="232">
        <f>E83</f>
        <v>142.9433728968711</v>
      </c>
      <c r="F141" s="232">
        <f>F83</f>
        <v>149.09539371313775</v>
      </c>
    </row>
    <row r="142" spans="1:6" s="90" customFormat="1">
      <c r="A142" s="231" t="s">
        <v>126</v>
      </c>
      <c r="B142" s="220" t="s">
        <v>46</v>
      </c>
      <c r="C142" s="96"/>
      <c r="D142" s="96"/>
      <c r="E142" s="232">
        <f>E109</f>
        <v>142.91715851861721</v>
      </c>
      <c r="F142" s="232">
        <f>F109</f>
        <v>149.10309253506296</v>
      </c>
    </row>
    <row r="143" spans="1:6" s="90" customFormat="1">
      <c r="A143" s="231" t="s">
        <v>128</v>
      </c>
      <c r="B143" s="220" t="s">
        <v>50</v>
      </c>
      <c r="C143" s="96"/>
      <c r="D143" s="96"/>
      <c r="E143" s="232">
        <f>E119</f>
        <v>587.65705905555569</v>
      </c>
      <c r="F143" s="232">
        <f>F119</f>
        <v>596.32705905555565</v>
      </c>
    </row>
    <row r="144" spans="1:6" s="90" customFormat="1" ht="15.75" customHeight="1">
      <c r="A144" s="385" t="s">
        <v>220</v>
      </c>
      <c r="B144" s="385"/>
      <c r="C144" s="385"/>
      <c r="D144" s="96"/>
      <c r="E144" s="233">
        <f>SUM(E139:E143)</f>
        <v>5516.4888000710434</v>
      </c>
      <c r="F144" s="233">
        <f>SUM(F139:F143)</f>
        <v>5738.4951709037559</v>
      </c>
    </row>
    <row r="145" spans="1:6">
      <c r="A145" s="37" t="s">
        <v>130</v>
      </c>
      <c r="B145" s="319" t="s">
        <v>214</v>
      </c>
      <c r="C145" s="319"/>
      <c r="D145" s="35"/>
      <c r="E145" s="85">
        <f>E134</f>
        <v>1152.2904671557626</v>
      </c>
      <c r="F145" s="85">
        <f>F134</f>
        <v>1198.6634108940129</v>
      </c>
    </row>
    <row r="146" spans="1:6" ht="15.75" customHeight="1">
      <c r="A146" s="379" t="s">
        <v>215</v>
      </c>
      <c r="B146" s="379"/>
      <c r="C146" s="379"/>
      <c r="D146" s="35"/>
      <c r="E146" s="88">
        <f>ROUND(SUM(E144+E145),2)</f>
        <v>6668.78</v>
      </c>
      <c r="F146" s="88">
        <f t="shared" ref="F146" si="14">ROUND(SUM(F144+F145),2)</f>
        <v>6937.16</v>
      </c>
    </row>
  </sheetData>
  <mergeCells count="85">
    <mergeCell ref="B140:C140"/>
    <mergeCell ref="A144:C144"/>
    <mergeCell ref="B145:C145"/>
    <mergeCell ref="A146:C146"/>
    <mergeCell ref="B123:C123"/>
    <mergeCell ref="B124:C124"/>
    <mergeCell ref="A134:B134"/>
    <mergeCell ref="A136:F136"/>
    <mergeCell ref="B138:C138"/>
    <mergeCell ref="B139:C139"/>
    <mergeCell ref="B122:C122"/>
    <mergeCell ref="B107:C107"/>
    <mergeCell ref="B108:C108"/>
    <mergeCell ref="A109:C109"/>
    <mergeCell ref="A112:F112"/>
    <mergeCell ref="B113:C113"/>
    <mergeCell ref="B114:C114"/>
    <mergeCell ref="B115:C115"/>
    <mergeCell ref="B116:C116"/>
    <mergeCell ref="B118:C118"/>
    <mergeCell ref="A119:C119"/>
    <mergeCell ref="A121:F121"/>
    <mergeCell ref="B117:C117"/>
    <mergeCell ref="B106:C106"/>
    <mergeCell ref="A83:B83"/>
    <mergeCell ref="A85:F85"/>
    <mergeCell ref="A86:F86"/>
    <mergeCell ref="A88:C88"/>
    <mergeCell ref="A97:C97"/>
    <mergeCell ref="A99:E99"/>
    <mergeCell ref="A100:C100"/>
    <mergeCell ref="B101:C101"/>
    <mergeCell ref="B102:C102"/>
    <mergeCell ref="A103:C103"/>
    <mergeCell ref="A105:F105"/>
    <mergeCell ref="A75:C75"/>
    <mergeCell ref="A52:B52"/>
    <mergeCell ref="A54:F54"/>
    <mergeCell ref="A62:C62"/>
    <mergeCell ref="A64:F64"/>
    <mergeCell ref="B66:C66"/>
    <mergeCell ref="B67:C67"/>
    <mergeCell ref="B68:C68"/>
    <mergeCell ref="B69:C69"/>
    <mergeCell ref="A70:C70"/>
    <mergeCell ref="A73:F73"/>
    <mergeCell ref="A74:C74"/>
    <mergeCell ref="B55:C55"/>
    <mergeCell ref="B56:C56"/>
    <mergeCell ref="B57:C57"/>
    <mergeCell ref="B58:C58"/>
    <mergeCell ref="A42:C42"/>
    <mergeCell ref="B25:C25"/>
    <mergeCell ref="B26:C26"/>
    <mergeCell ref="B27:C27"/>
    <mergeCell ref="B28:C28"/>
    <mergeCell ref="B29:C29"/>
    <mergeCell ref="B30:C30"/>
    <mergeCell ref="A31:C31"/>
    <mergeCell ref="A33:F33"/>
    <mergeCell ref="A35:F35"/>
    <mergeCell ref="A39:B39"/>
    <mergeCell ref="A41:F41"/>
    <mergeCell ref="B17:C17"/>
    <mergeCell ref="B11:C11"/>
    <mergeCell ref="A20:F20"/>
    <mergeCell ref="B22:C22"/>
    <mergeCell ref="B23:C23"/>
    <mergeCell ref="B18:C18"/>
    <mergeCell ref="B59:C59"/>
    <mergeCell ref="B60:C60"/>
    <mergeCell ref="B61:C61"/>
    <mergeCell ref="B12:C12"/>
    <mergeCell ref="A1:E1"/>
    <mergeCell ref="A3:E3"/>
    <mergeCell ref="A4:E4"/>
    <mergeCell ref="A6:F6"/>
    <mergeCell ref="B8:C8"/>
    <mergeCell ref="B24:C24"/>
    <mergeCell ref="B13:C13"/>
    <mergeCell ref="B10:C10"/>
    <mergeCell ref="B14:C14"/>
    <mergeCell ref="B15:C15"/>
    <mergeCell ref="B9:C9"/>
    <mergeCell ref="B16:C16"/>
  </mergeCells>
  <pageMargins left="0.511811023622047" right="0.511811023622047" top="0.78740157480314998" bottom="0.78740157480314998" header="0.31496062992126" footer="0.31496062992126"/>
  <pageSetup paperSize="3" fitToHeight="0" orientation="landscape" r:id="rId1"/>
  <headerFooter>
    <oddFooter>&amp;C&amp;A
&amp;P de &amp;N</oddFooter>
  </headerFooter>
  <rowBreaks count="4" manualBreakCount="4">
    <brk id="39" max="5" man="1"/>
    <brk id="70" max="5" man="1"/>
    <brk id="97" max="5" man="1"/>
    <brk id="119" max="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A577A-F221-4089-A1E5-AD25C9D75D1A}">
  <sheetPr>
    <pageSetUpPr fitToPage="1"/>
  </sheetPr>
  <dimension ref="A1:F147"/>
  <sheetViews>
    <sheetView view="pageBreakPreview" topLeftCell="A123" zoomScaleNormal="90" zoomScaleSheetLayoutView="100" workbookViewId="0">
      <selection activeCell="F156" sqref="F156"/>
    </sheetView>
  </sheetViews>
  <sheetFormatPr defaultColWidth="8.5546875" defaultRowHeight="15.6"/>
  <cols>
    <col min="1" max="1" width="8.5546875" style="1"/>
    <col min="2" max="2" width="64.109375" style="1" customWidth="1"/>
    <col min="3" max="3" width="18" style="1" customWidth="1"/>
    <col min="4" max="4" width="3.5546875" style="1" customWidth="1"/>
    <col min="5" max="5" width="45.5546875" style="1" customWidth="1"/>
    <col min="6" max="6" width="46" style="1" customWidth="1"/>
    <col min="7" max="8" width="12.44140625" style="1" customWidth="1"/>
    <col min="9" max="10" width="8.5546875" style="1"/>
    <col min="11" max="11" width="9.109375" style="1" bestFit="1" customWidth="1"/>
    <col min="12" max="16384" width="8.5546875" style="1"/>
  </cols>
  <sheetData>
    <row r="1" spans="1:6" ht="22.5" customHeight="1">
      <c r="A1" s="320" t="s">
        <v>10</v>
      </c>
      <c r="B1" s="320"/>
      <c r="C1" s="320"/>
      <c r="D1" s="320"/>
      <c r="E1" s="320"/>
      <c r="F1" s="124"/>
    </row>
    <row r="2" spans="1:6" ht="15.75" customHeight="1">
      <c r="A2" s="2"/>
      <c r="B2" s="2"/>
      <c r="C2" s="2"/>
      <c r="D2" s="2"/>
      <c r="E2" s="2"/>
      <c r="F2" s="2"/>
    </row>
    <row r="3" spans="1:6">
      <c r="A3" s="321" t="str">
        <f>PROPOSTA_GLOBAL!A4</f>
        <v>SUPERINTENDÊNCIA REGIONAL DA POLÍCIA FEDERAL NO PARANÁ</v>
      </c>
      <c r="B3" s="321"/>
      <c r="C3" s="321"/>
      <c r="D3" s="321"/>
      <c r="E3" s="321"/>
      <c r="F3" s="125"/>
    </row>
    <row r="4" spans="1:6">
      <c r="A4" s="321" t="str">
        <f>PROPOSTA_GLOBAL!A5</f>
        <v>PROCESSO ADMINISTRATIVO SEI Nº 08385.000837/2025-50</v>
      </c>
      <c r="B4" s="321"/>
      <c r="C4" s="321"/>
      <c r="D4" s="321"/>
      <c r="E4" s="321"/>
      <c r="F4" s="125"/>
    </row>
    <row r="5" spans="1:6" ht="9" customHeight="1">
      <c r="A5" s="2"/>
      <c r="B5" s="2"/>
      <c r="C5" s="2"/>
      <c r="D5" s="2"/>
      <c r="E5" s="2"/>
      <c r="F5" s="2"/>
    </row>
    <row r="6" spans="1:6" ht="4.5" customHeight="1">
      <c r="A6" s="351"/>
      <c r="B6" s="351"/>
      <c r="C6" s="351"/>
      <c r="D6" s="351"/>
      <c r="E6" s="351"/>
      <c r="F6" s="351"/>
    </row>
    <row r="7" spans="1:6" ht="9.75" customHeight="1">
      <c r="A7" s="3"/>
      <c r="B7" s="3"/>
      <c r="C7" s="3"/>
      <c r="D7" s="3"/>
      <c r="E7" s="36"/>
      <c r="F7" s="36"/>
    </row>
    <row r="8" spans="1:6">
      <c r="A8" s="37">
        <v>1</v>
      </c>
      <c r="B8" s="394" t="s">
        <v>102</v>
      </c>
      <c r="C8" s="394"/>
      <c r="D8" s="77"/>
      <c r="E8" s="65" t="s">
        <v>103</v>
      </c>
      <c r="F8" s="65" t="s">
        <v>103</v>
      </c>
    </row>
    <row r="9" spans="1:6" ht="18" customHeight="1">
      <c r="A9" s="37">
        <v>2</v>
      </c>
      <c r="B9" s="394" t="s">
        <v>108</v>
      </c>
      <c r="C9" s="394"/>
      <c r="D9" s="77"/>
      <c r="E9" s="76" t="s">
        <v>222</v>
      </c>
      <c r="F9" s="76" t="s">
        <v>222</v>
      </c>
    </row>
    <row r="10" spans="1:6">
      <c r="A10" s="37">
        <v>3</v>
      </c>
      <c r="B10" s="394" t="s">
        <v>106</v>
      </c>
      <c r="C10" s="394"/>
      <c r="D10" s="77"/>
      <c r="E10" s="89" t="str">
        <f>DADOS_BASICOS!C13</f>
        <v>Servente de limpeza</v>
      </c>
      <c r="F10" s="89" t="str">
        <f>DADOS_BASICOS!C13</f>
        <v>Servente de limpeza</v>
      </c>
    </row>
    <row r="11" spans="1:6">
      <c r="A11" s="37">
        <v>4</v>
      </c>
      <c r="B11" s="394" t="s">
        <v>116</v>
      </c>
      <c r="C11" s="394"/>
      <c r="D11" s="77"/>
      <c r="E11" s="76" t="s">
        <v>115</v>
      </c>
      <c r="F11" s="76" t="s">
        <v>114</v>
      </c>
    </row>
    <row r="12" spans="1:6">
      <c r="A12" s="37">
        <v>5</v>
      </c>
      <c r="B12" s="394" t="s">
        <v>104</v>
      </c>
      <c r="C12" s="394"/>
      <c r="D12" s="77"/>
      <c r="E12" s="78" t="str">
        <f>DADOS_BASICOS!C14</f>
        <v>5143-20</v>
      </c>
      <c r="F12" s="78" t="str">
        <f>DADOS_BASICOS!C14</f>
        <v>5143-20</v>
      </c>
    </row>
    <row r="13" spans="1:6">
      <c r="A13" s="37">
        <v>6</v>
      </c>
      <c r="B13" s="394" t="s">
        <v>105</v>
      </c>
      <c r="C13" s="394"/>
      <c r="D13" s="77"/>
      <c r="E13" s="267">
        <f>DADOS_BASICOS!C17</f>
        <v>1764</v>
      </c>
      <c r="F13" s="267">
        <f>DADOS_BASICOS!C17</f>
        <v>1764</v>
      </c>
    </row>
    <row r="14" spans="1:6">
      <c r="A14" s="37">
        <v>7</v>
      </c>
      <c r="B14" s="388" t="s">
        <v>107</v>
      </c>
      <c r="C14" s="389"/>
      <c r="D14" s="77"/>
      <c r="E14" s="290">
        <f>DADOS_BASICOS!C16</f>
        <v>45689</v>
      </c>
      <c r="F14" s="290">
        <f>DADOS_BASICOS!C16</f>
        <v>45689</v>
      </c>
    </row>
    <row r="15" spans="1:6">
      <c r="A15" s="37">
        <v>8</v>
      </c>
      <c r="B15" s="394" t="s">
        <v>82</v>
      </c>
      <c r="C15" s="394"/>
      <c r="D15" s="77"/>
      <c r="E15" s="94">
        <f>DADOS_BASICOS!C18</f>
        <v>40</v>
      </c>
      <c r="F15" s="94">
        <f>DADOS_BASICOS!C18</f>
        <v>40</v>
      </c>
    </row>
    <row r="16" spans="1:6">
      <c r="A16" s="37">
        <v>9</v>
      </c>
      <c r="B16" s="394" t="s">
        <v>112</v>
      </c>
      <c r="C16" s="394"/>
      <c r="D16" s="77"/>
      <c r="E16" s="76" t="str">
        <f>DADOS_BASICOS!C15</f>
        <v>PR000074/2025</v>
      </c>
      <c r="F16" s="76" t="str">
        <f>DADOS_BASICOS!C15</f>
        <v>PR000074/2025</v>
      </c>
    </row>
    <row r="17" spans="1:6" ht="15.75" customHeight="1">
      <c r="A17" s="37">
        <v>10</v>
      </c>
      <c r="B17" s="394" t="s">
        <v>113</v>
      </c>
      <c r="C17" s="394"/>
      <c r="D17" s="77"/>
      <c r="E17" s="76" t="s">
        <v>114</v>
      </c>
      <c r="F17" s="76" t="s">
        <v>114</v>
      </c>
    </row>
    <row r="18" spans="1:6" ht="15.75" customHeight="1">
      <c r="A18" s="37">
        <v>11</v>
      </c>
      <c r="B18" s="394" t="s">
        <v>117</v>
      </c>
      <c r="C18" s="394"/>
      <c r="D18" s="77"/>
      <c r="E18" s="94">
        <f>PRODUTIVIDADE!L166-1</f>
        <v>4</v>
      </c>
      <c r="F18" s="94">
        <v>1</v>
      </c>
    </row>
    <row r="19" spans="1:6" ht="15.75" customHeight="1">
      <c r="A19" s="4"/>
      <c r="B19" s="4"/>
      <c r="C19" s="4"/>
      <c r="D19" s="4"/>
      <c r="E19" s="4"/>
      <c r="F19" s="4"/>
    </row>
    <row r="20" spans="1:6">
      <c r="A20" s="351" t="s">
        <v>118</v>
      </c>
      <c r="B20" s="351"/>
      <c r="C20" s="351"/>
      <c r="D20" s="351"/>
      <c r="E20" s="351"/>
      <c r="F20" s="351"/>
    </row>
    <row r="21" spans="1:6">
      <c r="A21" s="4"/>
      <c r="B21" s="4"/>
      <c r="C21" s="4"/>
      <c r="D21" s="4"/>
      <c r="E21" s="4"/>
      <c r="F21" s="4"/>
    </row>
    <row r="22" spans="1:6">
      <c r="A22" s="41">
        <v>1</v>
      </c>
      <c r="B22" s="373" t="s">
        <v>119</v>
      </c>
      <c r="C22" s="374"/>
      <c r="D22" s="66"/>
      <c r="E22" s="38" t="s">
        <v>120</v>
      </c>
      <c r="F22" s="38" t="s">
        <v>120</v>
      </c>
    </row>
    <row r="23" spans="1:6" ht="15.6" customHeight="1">
      <c r="A23" s="43" t="s">
        <v>121</v>
      </c>
      <c r="B23" s="390" t="s">
        <v>563</v>
      </c>
      <c r="C23" s="391"/>
      <c r="D23" s="67"/>
      <c r="E23" s="45">
        <f>DADOS_BASICOS!C19</f>
        <v>1764</v>
      </c>
      <c r="F23" s="45">
        <f>DADOS_BASICOS!C19</f>
        <v>1764</v>
      </c>
    </row>
    <row r="24" spans="1:6" ht="15.6" customHeight="1">
      <c r="A24" s="43" t="s">
        <v>122</v>
      </c>
      <c r="B24" s="392" t="s">
        <v>123</v>
      </c>
      <c r="C24" s="393"/>
      <c r="D24" s="68"/>
      <c r="E24" s="44">
        <f>IF(E17="SIM",(E23*0.3),0)</f>
        <v>529.19999999999993</v>
      </c>
      <c r="F24" s="44">
        <f>IF(F17="SIM",(F23*0.3),0)</f>
        <v>529.19999999999993</v>
      </c>
    </row>
    <row r="25" spans="1:6">
      <c r="A25" s="43" t="s">
        <v>124</v>
      </c>
      <c r="B25" s="371" t="s">
        <v>125</v>
      </c>
      <c r="C25" s="372"/>
      <c r="D25" s="69"/>
      <c r="E25" s="44">
        <v>0</v>
      </c>
      <c r="F25" s="44">
        <v>0</v>
      </c>
    </row>
    <row r="26" spans="1:6">
      <c r="A26" s="43" t="s">
        <v>126</v>
      </c>
      <c r="B26" s="388" t="s">
        <v>127</v>
      </c>
      <c r="C26" s="389"/>
      <c r="D26" s="70"/>
      <c r="E26" s="44">
        <v>0</v>
      </c>
      <c r="F26" s="44">
        <v>0</v>
      </c>
    </row>
    <row r="27" spans="1:6">
      <c r="A27" s="43" t="s">
        <v>128</v>
      </c>
      <c r="B27" s="388" t="s">
        <v>129</v>
      </c>
      <c r="C27" s="389"/>
      <c r="D27" s="70"/>
      <c r="E27" s="44">
        <v>0</v>
      </c>
      <c r="F27" s="44">
        <v>0</v>
      </c>
    </row>
    <row r="28" spans="1:6">
      <c r="A28" s="43" t="s">
        <v>130</v>
      </c>
      <c r="B28" s="392" t="s">
        <v>131</v>
      </c>
      <c r="C28" s="393"/>
      <c r="D28" s="68"/>
      <c r="E28" s="266">
        <v>0</v>
      </c>
      <c r="F28" s="266">
        <v>0</v>
      </c>
    </row>
    <row r="29" spans="1:6">
      <c r="A29" s="43" t="s">
        <v>132</v>
      </c>
      <c r="B29" s="392" t="s">
        <v>133</v>
      </c>
      <c r="C29" s="393"/>
      <c r="D29" s="68"/>
      <c r="E29" s="266">
        <f>IF(E11="SIM",DADOS_BASICOS!C20,0)</f>
        <v>0</v>
      </c>
      <c r="F29" s="266">
        <f>IF(F11="SIM",DADOS_BASICOS!C20,0)</f>
        <v>122</v>
      </c>
    </row>
    <row r="30" spans="1:6">
      <c r="A30" s="43" t="s">
        <v>134</v>
      </c>
      <c r="B30" s="392" t="s">
        <v>135</v>
      </c>
      <c r="C30" s="393"/>
      <c r="D30" s="68"/>
      <c r="E30" s="266">
        <v>0</v>
      </c>
      <c r="F30" s="266">
        <v>0</v>
      </c>
    </row>
    <row r="31" spans="1:6">
      <c r="A31" s="376" t="s">
        <v>136</v>
      </c>
      <c r="B31" s="377"/>
      <c r="C31" s="378"/>
      <c r="D31" s="71"/>
      <c r="E31" s="46">
        <f>SUM(E23:E30)</f>
        <v>2293.1999999999998</v>
      </c>
      <c r="F31" s="46">
        <f>SUM(F23:F30)</f>
        <v>2415.1999999999998</v>
      </c>
    </row>
    <row r="32" spans="1:6">
      <c r="A32" s="4"/>
      <c r="B32" s="4"/>
      <c r="C32" s="4"/>
      <c r="D32" s="4"/>
      <c r="E32" s="4"/>
      <c r="F32" s="4"/>
    </row>
    <row r="33" spans="1:6">
      <c r="A33" s="351" t="s">
        <v>137</v>
      </c>
      <c r="B33" s="351"/>
      <c r="C33" s="351"/>
      <c r="D33" s="351"/>
      <c r="E33" s="351"/>
      <c r="F33" s="351"/>
    </row>
    <row r="34" spans="1:6">
      <c r="A34" s="8"/>
      <c r="B34" s="4"/>
      <c r="C34" s="4"/>
      <c r="D34" s="4"/>
      <c r="E34" s="4"/>
      <c r="F34" s="4"/>
    </row>
    <row r="35" spans="1:6">
      <c r="A35" s="395" t="s">
        <v>42</v>
      </c>
      <c r="B35" s="395"/>
      <c r="C35" s="395"/>
      <c r="D35" s="395"/>
      <c r="E35" s="395"/>
      <c r="F35" s="395"/>
    </row>
    <row r="36" spans="1:6" ht="15.75" customHeight="1">
      <c r="A36" s="41" t="s">
        <v>138</v>
      </c>
      <c r="B36" s="41" t="s">
        <v>139</v>
      </c>
      <c r="C36" s="41" t="s">
        <v>140</v>
      </c>
      <c r="D36" s="41"/>
      <c r="E36" s="41" t="s">
        <v>120</v>
      </c>
      <c r="F36" s="41" t="s">
        <v>120</v>
      </c>
    </row>
    <row r="37" spans="1:6">
      <c r="A37" s="43" t="s">
        <v>121</v>
      </c>
      <c r="B37" s="5" t="s">
        <v>141</v>
      </c>
      <c r="C37" s="18">
        <f>1/12</f>
        <v>8.3333333333333329E-2</v>
      </c>
      <c r="D37" s="18"/>
      <c r="E37" s="9">
        <f>E$31*$C$37</f>
        <v>191.09999999999997</v>
      </c>
      <c r="F37" s="9">
        <f>F$31*$C$37</f>
        <v>201.26666666666665</v>
      </c>
    </row>
    <row r="38" spans="1:6" ht="15.75" customHeight="1">
      <c r="A38" s="43" t="s">
        <v>122</v>
      </c>
      <c r="B38" s="5" t="s">
        <v>142</v>
      </c>
      <c r="C38" s="47">
        <v>0.121</v>
      </c>
      <c r="D38" s="47"/>
      <c r="E38" s="9">
        <f>E$31*$C$38</f>
        <v>277.47719999999998</v>
      </c>
      <c r="F38" s="9">
        <f>F$31*$C$38</f>
        <v>292.23919999999998</v>
      </c>
    </row>
    <row r="39" spans="1:6">
      <c r="A39" s="379" t="s">
        <v>143</v>
      </c>
      <c r="B39" s="379"/>
      <c r="C39" s="43"/>
      <c r="D39" s="43"/>
      <c r="E39" s="29">
        <f>SUM(E37:E38)</f>
        <v>468.57719999999995</v>
      </c>
      <c r="F39" s="29">
        <f>SUM(F37:F38)</f>
        <v>493.50586666666663</v>
      </c>
    </row>
    <row r="40" spans="1:6">
      <c r="A40" s="4"/>
      <c r="B40" s="4"/>
      <c r="C40" s="4"/>
      <c r="D40" s="4"/>
      <c r="E40" s="4"/>
      <c r="F40" s="4"/>
    </row>
    <row r="41" spans="1:6" ht="15.75" customHeight="1">
      <c r="A41" s="396" t="s">
        <v>43</v>
      </c>
      <c r="B41" s="396"/>
      <c r="C41" s="396"/>
      <c r="D41" s="396"/>
      <c r="E41" s="396"/>
      <c r="F41" s="396"/>
    </row>
    <row r="42" spans="1:6" ht="15.75" customHeight="1">
      <c r="A42" s="375" t="s">
        <v>144</v>
      </c>
      <c r="B42" s="375"/>
      <c r="C42" s="375"/>
      <c r="D42" s="10"/>
      <c r="E42" s="10">
        <f>E31+E39</f>
        <v>2761.7771999999995</v>
      </c>
      <c r="F42" s="10">
        <f>F31+F39</f>
        <v>2908.7058666666662</v>
      </c>
    </row>
    <row r="43" spans="1:6" ht="32.25" customHeight="1">
      <c r="A43" s="41" t="s">
        <v>145</v>
      </c>
      <c r="B43" s="41" t="s">
        <v>146</v>
      </c>
      <c r="C43" s="41" t="s">
        <v>140</v>
      </c>
      <c r="D43" s="41"/>
      <c r="E43" s="41" t="s">
        <v>120</v>
      </c>
      <c r="F43" s="41" t="s">
        <v>120</v>
      </c>
    </row>
    <row r="44" spans="1:6">
      <c r="A44" s="43" t="s">
        <v>121</v>
      </c>
      <c r="B44" s="5" t="s">
        <v>147</v>
      </c>
      <c r="C44" s="27">
        <v>0.2</v>
      </c>
      <c r="D44" s="27"/>
      <c r="E44" s="28">
        <f>E$42*$C$44</f>
        <v>552.35543999999993</v>
      </c>
      <c r="F44" s="28">
        <f>F$42*$C$44</f>
        <v>581.74117333333322</v>
      </c>
    </row>
    <row r="45" spans="1:6">
      <c r="A45" s="43" t="s">
        <v>122</v>
      </c>
      <c r="B45" s="5" t="s">
        <v>148</v>
      </c>
      <c r="C45" s="11">
        <v>2.5000000000000001E-2</v>
      </c>
      <c r="D45" s="11"/>
      <c r="E45" s="28">
        <f>E$42*$C$45</f>
        <v>69.044429999999991</v>
      </c>
      <c r="F45" s="28">
        <f>F$42*$C$45</f>
        <v>72.717646666666653</v>
      </c>
    </row>
    <row r="46" spans="1:6">
      <c r="A46" s="43" t="s">
        <v>124</v>
      </c>
      <c r="B46" s="6" t="s">
        <v>149</v>
      </c>
      <c r="C46" s="47">
        <v>0.03</v>
      </c>
      <c r="D46" s="47"/>
      <c r="E46" s="28">
        <f>E$42*$C$46</f>
        <v>82.853315999999978</v>
      </c>
      <c r="F46" s="28">
        <f>F$42*$C$46</f>
        <v>87.261175999999978</v>
      </c>
    </row>
    <row r="47" spans="1:6">
      <c r="A47" s="43" t="s">
        <v>126</v>
      </c>
      <c r="B47" s="5" t="s">
        <v>150</v>
      </c>
      <c r="C47" s="11">
        <v>1.4999999999999999E-2</v>
      </c>
      <c r="D47" s="11"/>
      <c r="E47" s="28">
        <f>E$42*$C$47</f>
        <v>41.426657999999989</v>
      </c>
      <c r="F47" s="28">
        <f>F$42*$C$47</f>
        <v>43.630587999999989</v>
      </c>
    </row>
    <row r="48" spans="1:6">
      <c r="A48" s="43" t="s">
        <v>128</v>
      </c>
      <c r="B48" s="5" t="s">
        <v>151</v>
      </c>
      <c r="C48" s="11">
        <v>0.01</v>
      </c>
      <c r="D48" s="11"/>
      <c r="E48" s="28">
        <f>E$42*$C$48</f>
        <v>27.617771999999995</v>
      </c>
      <c r="F48" s="28">
        <f>F$42*$C$48</f>
        <v>29.087058666666664</v>
      </c>
    </row>
    <row r="49" spans="1:6">
      <c r="A49" s="43" t="s">
        <v>130</v>
      </c>
      <c r="B49" s="5" t="s">
        <v>152</v>
      </c>
      <c r="C49" s="11">
        <v>6.0000000000000001E-3</v>
      </c>
      <c r="D49" s="11"/>
      <c r="E49" s="28">
        <f>E$42*$C$49</f>
        <v>16.570663199999998</v>
      </c>
      <c r="F49" s="28">
        <f>F$42*$C$49</f>
        <v>17.452235199999997</v>
      </c>
    </row>
    <row r="50" spans="1:6">
      <c r="A50" s="43" t="s">
        <v>132</v>
      </c>
      <c r="B50" s="5" t="s">
        <v>153</v>
      </c>
      <c r="C50" s="11">
        <v>2E-3</v>
      </c>
      <c r="D50" s="11"/>
      <c r="E50" s="28">
        <f>E$42*$C$50</f>
        <v>5.5235543999999992</v>
      </c>
      <c r="F50" s="28">
        <f>F$42*$C$50</f>
        <v>5.8174117333333326</v>
      </c>
    </row>
    <row r="51" spans="1:6">
      <c r="A51" s="43" t="s">
        <v>134</v>
      </c>
      <c r="B51" s="5" t="s">
        <v>154</v>
      </c>
      <c r="C51" s="11">
        <v>0.08</v>
      </c>
      <c r="D51" s="11"/>
      <c r="E51" s="28">
        <f>E$42*$C$51</f>
        <v>220.94217599999996</v>
      </c>
      <c r="F51" s="28">
        <f>F$42*$C$51</f>
        <v>232.69646933333331</v>
      </c>
    </row>
    <row r="52" spans="1:6">
      <c r="A52" s="379" t="s">
        <v>155</v>
      </c>
      <c r="B52" s="379"/>
      <c r="C52" s="13">
        <f>SUM(C44:C51)</f>
        <v>0.36800000000000005</v>
      </c>
      <c r="D52" s="13"/>
      <c r="E52" s="29">
        <f>SUM(E44:E51)</f>
        <v>1016.3340095999997</v>
      </c>
      <c r="F52" s="29">
        <f t="shared" ref="F52" si="0">SUM(F44:F51)</f>
        <v>1070.4037589333329</v>
      </c>
    </row>
    <row r="53" spans="1:6" ht="15.75" customHeight="1">
      <c r="A53" s="14"/>
      <c r="B53" s="14"/>
      <c r="C53" s="14"/>
      <c r="D53" s="14"/>
      <c r="E53" s="14"/>
      <c r="F53" s="14"/>
    </row>
    <row r="54" spans="1:6">
      <c r="A54" s="343" t="s">
        <v>44</v>
      </c>
      <c r="B54" s="343"/>
      <c r="C54" s="343"/>
      <c r="D54" s="343"/>
      <c r="E54" s="343"/>
      <c r="F54" s="343"/>
    </row>
    <row r="55" spans="1:6">
      <c r="A55" s="41" t="s">
        <v>156</v>
      </c>
      <c r="B55" s="373" t="s">
        <v>157</v>
      </c>
      <c r="C55" s="374"/>
      <c r="D55" s="41"/>
      <c r="E55" s="41" t="s">
        <v>120</v>
      </c>
      <c r="F55" s="41" t="s">
        <v>120</v>
      </c>
    </row>
    <row r="56" spans="1:6">
      <c r="A56" s="43" t="s">
        <v>121</v>
      </c>
      <c r="B56" s="371" t="s">
        <v>158</v>
      </c>
      <c r="C56" s="372"/>
      <c r="D56" s="50"/>
      <c r="E56" s="64">
        <f>IF((DADOS_BASICOS!$E$35-(PARANAGUA!E$23*DADOS_BASICOS!$F$35))&gt;0,(DADOS_BASICOS!$E$35-(PARANAGUA!E$23*DADOS_BASICOS!$F$35)),0)</f>
        <v>0</v>
      </c>
      <c r="F56" s="64">
        <f>IF((DADOS_BASICOS!$E$35-(PARANAGUA!F$23*DADOS_BASICOS!$F$35))&gt;0,(DADOS_BASICOS!$E$35-(PARANAGUA!F$23*DADOS_BASICOS!$F$35)),0)</f>
        <v>0</v>
      </c>
    </row>
    <row r="57" spans="1:6">
      <c r="A57" s="15" t="s">
        <v>122</v>
      </c>
      <c r="B57" s="371" t="s">
        <v>159</v>
      </c>
      <c r="C57" s="372">
        <f>DADOS_BASICOS!C22</f>
        <v>805</v>
      </c>
      <c r="D57" s="48"/>
      <c r="E57" s="32">
        <f>DADOS_BASICOS!C22-DADOS_BASICOS!C23</f>
        <v>644</v>
      </c>
      <c r="F57" s="32">
        <f>DADOS_BASICOS!C22-DADOS_BASICOS!C23</f>
        <v>644</v>
      </c>
    </row>
    <row r="58" spans="1:6">
      <c r="A58" s="15" t="s">
        <v>124</v>
      </c>
      <c r="B58" s="371" t="s">
        <v>94</v>
      </c>
      <c r="C58" s="372">
        <f>DADOS_BASICOS!C26</f>
        <v>28</v>
      </c>
      <c r="D58" s="48"/>
      <c r="E58" s="32">
        <f>$C$58</f>
        <v>28</v>
      </c>
      <c r="F58" s="32">
        <f>$C$58</f>
        <v>28</v>
      </c>
    </row>
    <row r="59" spans="1:6">
      <c r="A59" s="15" t="s">
        <v>126</v>
      </c>
      <c r="B59" s="371" t="s">
        <v>92</v>
      </c>
      <c r="C59" s="372">
        <f>DADOS_BASICOS!C25</f>
        <v>87.5</v>
      </c>
      <c r="D59" s="48"/>
      <c r="E59" s="32">
        <f>$C$59</f>
        <v>87.5</v>
      </c>
      <c r="F59" s="32">
        <f>$C$59</f>
        <v>87.5</v>
      </c>
    </row>
    <row r="60" spans="1:6">
      <c r="A60" s="15" t="s">
        <v>128</v>
      </c>
      <c r="B60" s="371" t="s">
        <v>160</v>
      </c>
      <c r="C60" s="372"/>
      <c r="D60" s="39"/>
      <c r="E60" s="32">
        <v>0</v>
      </c>
      <c r="F60" s="32">
        <v>0</v>
      </c>
    </row>
    <row r="61" spans="1:6">
      <c r="A61" s="15" t="s">
        <v>130</v>
      </c>
      <c r="B61" s="371" t="s">
        <v>161</v>
      </c>
      <c r="C61" s="372"/>
      <c r="D61" s="42"/>
      <c r="E61" s="33">
        <v>0</v>
      </c>
      <c r="F61" s="33">
        <v>0</v>
      </c>
    </row>
    <row r="62" spans="1:6">
      <c r="A62" s="379" t="s">
        <v>136</v>
      </c>
      <c r="B62" s="379"/>
      <c r="C62" s="379"/>
      <c r="D62" s="37"/>
      <c r="E62" s="126">
        <f>SUM(E56:E61)</f>
        <v>759.5</v>
      </c>
      <c r="F62" s="126">
        <f>SUM(F56:F61)</f>
        <v>759.5</v>
      </c>
    </row>
    <row r="63" spans="1:6">
      <c r="A63" s="4"/>
      <c r="B63" s="4"/>
      <c r="C63" s="4"/>
      <c r="D63" s="4"/>
      <c r="E63" s="4"/>
      <c r="F63" s="4"/>
    </row>
    <row r="64" spans="1:6" ht="28.5" customHeight="1">
      <c r="A64" s="343" t="s">
        <v>162</v>
      </c>
      <c r="B64" s="343"/>
      <c r="C64" s="343"/>
      <c r="D64" s="343"/>
      <c r="E64" s="343"/>
      <c r="F64" s="343"/>
    </row>
    <row r="65" spans="1:6" ht="15" customHeight="1">
      <c r="A65" s="4"/>
      <c r="B65" s="4"/>
      <c r="C65" s="4"/>
      <c r="D65" s="4"/>
      <c r="E65" s="4"/>
      <c r="F65" s="4"/>
    </row>
    <row r="66" spans="1:6">
      <c r="A66" s="41">
        <v>2</v>
      </c>
      <c r="B66" s="380" t="s">
        <v>163</v>
      </c>
      <c r="C66" s="380"/>
      <c r="D66" s="83"/>
      <c r="E66" s="41" t="s">
        <v>120</v>
      </c>
      <c r="F66" s="41" t="s">
        <v>120</v>
      </c>
    </row>
    <row r="67" spans="1:6">
      <c r="A67" s="43" t="s">
        <v>138</v>
      </c>
      <c r="B67" s="383" t="s">
        <v>139</v>
      </c>
      <c r="C67" s="383"/>
      <c r="D67" s="35"/>
      <c r="E67" s="84">
        <f>E39</f>
        <v>468.57719999999995</v>
      </c>
      <c r="F67" s="84">
        <f>F39</f>
        <v>493.50586666666663</v>
      </c>
    </row>
    <row r="68" spans="1:6">
      <c r="A68" s="43" t="s">
        <v>145</v>
      </c>
      <c r="B68" s="383" t="s">
        <v>146</v>
      </c>
      <c r="C68" s="383"/>
      <c r="D68" s="35"/>
      <c r="E68" s="85">
        <f>E52</f>
        <v>1016.3340095999997</v>
      </c>
      <c r="F68" s="85">
        <f>F52</f>
        <v>1070.4037589333329</v>
      </c>
    </row>
    <row r="69" spans="1:6">
      <c r="A69" s="43" t="s">
        <v>156</v>
      </c>
      <c r="B69" s="383" t="s">
        <v>157</v>
      </c>
      <c r="C69" s="383"/>
      <c r="D69" s="35"/>
      <c r="E69" s="85">
        <f>E62</f>
        <v>759.5</v>
      </c>
      <c r="F69" s="85">
        <f>F62</f>
        <v>759.5</v>
      </c>
    </row>
    <row r="70" spans="1:6" ht="15.75" customHeight="1">
      <c r="A70" s="379" t="s">
        <v>136</v>
      </c>
      <c r="B70" s="379"/>
      <c r="C70" s="379"/>
      <c r="D70" s="35"/>
      <c r="E70" s="86">
        <f>SUM(E67:E69)</f>
        <v>2244.4112095999999</v>
      </c>
      <c r="F70" s="86">
        <f>SUM(F67:F69)</f>
        <v>2323.4096255999993</v>
      </c>
    </row>
    <row r="71" spans="1:6" ht="8.25" customHeight="1">
      <c r="A71" s="4"/>
      <c r="B71" s="4"/>
      <c r="C71" s="4"/>
      <c r="D71" s="4"/>
      <c r="E71" s="4"/>
      <c r="F71" s="4"/>
    </row>
    <row r="72" spans="1:6" ht="7.5" customHeight="1">
      <c r="A72" s="4"/>
      <c r="B72" s="4"/>
      <c r="C72" s="4"/>
      <c r="D72" s="4"/>
      <c r="E72" s="4"/>
      <c r="F72" s="4"/>
    </row>
    <row r="73" spans="1:6" ht="18.75" customHeight="1">
      <c r="A73" s="351" t="s">
        <v>45</v>
      </c>
      <c r="B73" s="351"/>
      <c r="C73" s="351"/>
      <c r="D73" s="351"/>
      <c r="E73" s="351"/>
      <c r="F73" s="351"/>
    </row>
    <row r="74" spans="1:6">
      <c r="A74" s="381" t="s">
        <v>164</v>
      </c>
      <c r="B74" s="381"/>
      <c r="C74" s="381"/>
      <c r="D74" s="16"/>
      <c r="E74" s="16">
        <f>E31+E70-SUM(E44:E50)</f>
        <v>3742.219376</v>
      </c>
      <c r="F74" s="16">
        <f>F31+F70-SUM(F44:F50)</f>
        <v>3900.9023359999992</v>
      </c>
    </row>
    <row r="75" spans="1:6">
      <c r="A75" s="375" t="s">
        <v>165</v>
      </c>
      <c r="B75" s="375"/>
      <c r="C75" s="375"/>
      <c r="D75" s="16"/>
      <c r="E75" s="16">
        <f>E31+E70</f>
        <v>4537.6112095999997</v>
      </c>
      <c r="F75" s="16">
        <f>F31+F70</f>
        <v>4738.6096255999992</v>
      </c>
    </row>
    <row r="76" spans="1:6">
      <c r="A76" s="41">
        <v>3</v>
      </c>
      <c r="B76" s="41" t="s">
        <v>166</v>
      </c>
      <c r="C76" s="41" t="s">
        <v>167</v>
      </c>
      <c r="D76" s="41"/>
      <c r="E76" s="41" t="s">
        <v>120</v>
      </c>
      <c r="F76" s="41" t="s">
        <v>120</v>
      </c>
    </row>
    <row r="77" spans="1:6">
      <c r="A77" s="43" t="s">
        <v>121</v>
      </c>
      <c r="B77" s="58" t="s">
        <v>168</v>
      </c>
      <c r="C77" s="80">
        <f>(1/12)*5%</f>
        <v>4.1666666666666666E-3</v>
      </c>
      <c r="D77" s="80"/>
      <c r="E77" s="33">
        <f>E74*$C$77</f>
        <v>15.592580733333333</v>
      </c>
      <c r="F77" s="33">
        <f>F74*$C$77</f>
        <v>16.253759733333329</v>
      </c>
    </row>
    <row r="78" spans="1:6">
      <c r="A78" s="43" t="s">
        <v>122</v>
      </c>
      <c r="B78" s="17" t="s">
        <v>169</v>
      </c>
      <c r="C78" s="34">
        <v>0.08</v>
      </c>
      <c r="D78" s="34"/>
      <c r="E78" s="9">
        <f>E77*$C$78</f>
        <v>1.2474064586666667</v>
      </c>
      <c r="F78" s="9">
        <f>F77*$C$78</f>
        <v>1.3003007786666663</v>
      </c>
    </row>
    <row r="79" spans="1:6">
      <c r="A79" s="43" t="s">
        <v>124</v>
      </c>
      <c r="B79" s="17" t="s">
        <v>170</v>
      </c>
      <c r="C79" s="18">
        <v>0.02</v>
      </c>
      <c r="D79" s="18"/>
      <c r="E79" s="9">
        <f>$C$79*E77</f>
        <v>0.31185161466666667</v>
      </c>
      <c r="F79" s="9">
        <f>$C$79*F77</f>
        <v>0.32507519466666657</v>
      </c>
    </row>
    <row r="80" spans="1:6">
      <c r="A80" s="43" t="s">
        <v>126</v>
      </c>
      <c r="B80" s="17" t="s">
        <v>171</v>
      </c>
      <c r="C80" s="80">
        <f>7/30/12</f>
        <v>1.9444444444444445E-2</v>
      </c>
      <c r="D80" s="80"/>
      <c r="E80" s="9">
        <f>E75*$C$80</f>
        <v>88.23132907555555</v>
      </c>
      <c r="F80" s="9">
        <f>F75*$C$80</f>
        <v>92.139631608888877</v>
      </c>
    </row>
    <row r="81" spans="1:6">
      <c r="A81" s="43" t="s">
        <v>128</v>
      </c>
      <c r="B81" s="17" t="s">
        <v>172</v>
      </c>
      <c r="C81" s="34">
        <f>$C$52</f>
        <v>0.36800000000000005</v>
      </c>
      <c r="D81" s="34"/>
      <c r="E81" s="9">
        <f>E80*$C$81</f>
        <v>32.469129099804448</v>
      </c>
      <c r="F81" s="9">
        <f>F80*$C$81</f>
        <v>33.907384432071112</v>
      </c>
    </row>
    <row r="82" spans="1:6">
      <c r="A82" s="43" t="s">
        <v>130</v>
      </c>
      <c r="B82" s="17" t="s">
        <v>173</v>
      </c>
      <c r="C82" s="18">
        <v>0.02</v>
      </c>
      <c r="D82" s="18"/>
      <c r="E82" s="9">
        <f>E80*$C$82</f>
        <v>1.7646265815111111</v>
      </c>
      <c r="F82" s="9">
        <f>F80*$C$82</f>
        <v>1.8427926321777777</v>
      </c>
    </row>
    <row r="83" spans="1:6">
      <c r="A83" s="379" t="s">
        <v>136</v>
      </c>
      <c r="B83" s="379"/>
      <c r="C83" s="18"/>
      <c r="D83" s="18"/>
      <c r="E83" s="29">
        <f>SUM(E77:E82)</f>
        <v>139.61692356353777</v>
      </c>
      <c r="F83" s="29">
        <f>SUM(F77:F82)</f>
        <v>145.76894437980442</v>
      </c>
    </row>
    <row r="84" spans="1:6" ht="44.25" customHeight="1">
      <c r="A84" s="4"/>
      <c r="B84" s="4"/>
      <c r="C84" s="4"/>
      <c r="D84" s="4"/>
      <c r="E84" s="4"/>
      <c r="F84" s="4"/>
    </row>
    <row r="85" spans="1:6">
      <c r="A85" s="351" t="s">
        <v>46</v>
      </c>
      <c r="B85" s="351"/>
      <c r="C85" s="351"/>
      <c r="D85" s="351"/>
      <c r="E85" s="351"/>
      <c r="F85" s="351"/>
    </row>
    <row r="86" spans="1:6">
      <c r="A86" s="343" t="s">
        <v>47</v>
      </c>
      <c r="B86" s="343"/>
      <c r="C86" s="343"/>
      <c r="D86" s="343"/>
      <c r="E86" s="343"/>
      <c r="F86" s="343"/>
    </row>
    <row r="87" spans="1:6">
      <c r="A87" s="3"/>
      <c r="B87" s="3"/>
      <c r="C87" s="3"/>
      <c r="D87" s="3"/>
      <c r="E87" s="3"/>
      <c r="F87" s="3"/>
    </row>
    <row r="88" spans="1:6">
      <c r="A88" s="375" t="s">
        <v>174</v>
      </c>
      <c r="B88" s="375"/>
      <c r="C88" s="375"/>
      <c r="D88" s="10"/>
      <c r="E88" s="10">
        <f>E31+E70+E83</f>
        <v>4677.2281331635377</v>
      </c>
      <c r="F88" s="10">
        <f t="shared" ref="F88" si="1">F31+F70+F83</f>
        <v>4884.3785699798036</v>
      </c>
    </row>
    <row r="89" spans="1:6" ht="12.75" customHeight="1">
      <c r="A89" s="41" t="s">
        <v>175</v>
      </c>
      <c r="B89" s="41" t="s">
        <v>176</v>
      </c>
      <c r="C89" s="41" t="s">
        <v>177</v>
      </c>
      <c r="D89" s="41"/>
      <c r="E89" s="41" t="s">
        <v>120</v>
      </c>
      <c r="F89" s="41" t="s">
        <v>120</v>
      </c>
    </row>
    <row r="90" spans="1:6" ht="31.5" customHeight="1">
      <c r="A90" s="25" t="s">
        <v>121</v>
      </c>
      <c r="B90" s="59" t="s">
        <v>178</v>
      </c>
      <c r="C90" s="81">
        <f>(1+1/3)/12/12</f>
        <v>9.2592592592592587E-3</v>
      </c>
      <c r="D90" s="81"/>
      <c r="E90" s="60">
        <f>E88*$C$90</f>
        <v>43.307667899662384</v>
      </c>
      <c r="F90" s="60">
        <f t="shared" ref="F90" si="2">F88*$C$90</f>
        <v>45.225727499812997</v>
      </c>
    </row>
    <row r="91" spans="1:6">
      <c r="A91" s="25" t="s">
        <v>122</v>
      </c>
      <c r="B91" s="59" t="s">
        <v>179</v>
      </c>
      <c r="C91" s="82">
        <f>((2/30/12))</f>
        <v>5.5555555555555558E-3</v>
      </c>
      <c r="D91" s="82"/>
      <c r="E91" s="60">
        <f>E88*$C$91</f>
        <v>25.984600739797433</v>
      </c>
      <c r="F91" s="60">
        <f t="shared" ref="F91" si="3">F88*$C$91</f>
        <v>27.135436499887799</v>
      </c>
    </row>
    <row r="92" spans="1:6">
      <c r="A92" s="25" t="s">
        <v>124</v>
      </c>
      <c r="B92" s="59" t="s">
        <v>180</v>
      </c>
      <c r="C92" s="47">
        <f>((15/30/12)*0.0078)</f>
        <v>3.2499999999999999E-4</v>
      </c>
      <c r="D92" s="47"/>
      <c r="E92" s="60">
        <f>E88*$C$92</f>
        <v>1.5200991432781497</v>
      </c>
      <c r="F92" s="60">
        <f t="shared" ref="F92" si="4">F88*$C$92</f>
        <v>1.5874230352434362</v>
      </c>
    </row>
    <row r="93" spans="1:6" ht="14.4" customHeight="1">
      <c r="A93" s="25" t="s">
        <v>126</v>
      </c>
      <c r="B93" s="59" t="s">
        <v>181</v>
      </c>
      <c r="C93" s="82">
        <f>(5/30/12)*0.02</f>
        <v>2.7777777777777778E-4</v>
      </c>
      <c r="D93" s="82"/>
      <c r="E93" s="60">
        <f>E88*$C$93</f>
        <v>1.2992300369898715</v>
      </c>
      <c r="F93" s="60">
        <f t="shared" ref="F93" si="5">F88*$C$93</f>
        <v>1.3567718249943899</v>
      </c>
    </row>
    <row r="94" spans="1:6">
      <c r="A94" s="25" t="s">
        <v>128</v>
      </c>
      <c r="B94" s="59" t="s">
        <v>182</v>
      </c>
      <c r="C94" s="82">
        <f>(4/12)/12*0.02</f>
        <v>5.5555555555555556E-4</v>
      </c>
      <c r="D94" s="82"/>
      <c r="E94" s="60">
        <f>E88*$C$94</f>
        <v>2.598460073979743</v>
      </c>
      <c r="F94" s="60">
        <f t="shared" ref="F94" si="6">F88*$C$94</f>
        <v>2.7135436499887797</v>
      </c>
    </row>
    <row r="95" spans="1:6">
      <c r="A95" s="25" t="s">
        <v>130</v>
      </c>
      <c r="B95" s="59" t="s">
        <v>183</v>
      </c>
      <c r="C95" s="47">
        <f>(5/30)/12</f>
        <v>1.3888888888888888E-2</v>
      </c>
      <c r="D95" s="47"/>
      <c r="E95" s="60">
        <f>E88*$C$95</f>
        <v>64.961501849493573</v>
      </c>
      <c r="F95" s="60">
        <f t="shared" ref="F95" si="7">F88*$C$95</f>
        <v>67.838591249719485</v>
      </c>
    </row>
    <row r="96" spans="1:6">
      <c r="A96" s="25" t="s">
        <v>132</v>
      </c>
      <c r="B96" s="59" t="s">
        <v>184</v>
      </c>
      <c r="C96" s="47">
        <v>0</v>
      </c>
      <c r="D96" s="47"/>
      <c r="E96" s="60">
        <f>E88*$C$96</f>
        <v>0</v>
      </c>
      <c r="F96" s="60">
        <f t="shared" ref="F96" si="8">F88*$C$96</f>
        <v>0</v>
      </c>
    </row>
    <row r="97" spans="1:6">
      <c r="A97" s="376" t="s">
        <v>185</v>
      </c>
      <c r="B97" s="377"/>
      <c r="C97" s="378"/>
      <c r="D97" s="71"/>
      <c r="E97" s="29">
        <f>SUM(E90:E96)</f>
        <v>139.67155974320116</v>
      </c>
      <c r="F97" s="29">
        <f>SUM(F90:F96)</f>
        <v>145.8574937596469</v>
      </c>
    </row>
    <row r="98" spans="1:6">
      <c r="A98" s="31"/>
      <c r="B98" s="31"/>
      <c r="C98" s="31"/>
      <c r="D98" s="31"/>
      <c r="E98" s="31"/>
      <c r="F98" s="31"/>
    </row>
    <row r="99" spans="1:6">
      <c r="A99" s="370" t="s">
        <v>48</v>
      </c>
      <c r="B99" s="370"/>
      <c r="C99" s="370"/>
      <c r="D99" s="370"/>
      <c r="E99" s="370"/>
      <c r="F99" s="74"/>
    </row>
    <row r="100" spans="1:6">
      <c r="A100" s="399" t="s">
        <v>186</v>
      </c>
      <c r="B100" s="399"/>
      <c r="C100" s="399"/>
      <c r="D100" s="49"/>
      <c r="E100" s="98">
        <f>E31+E70+E83</f>
        <v>4677.2281331635377</v>
      </c>
      <c r="F100" s="98">
        <f>F31+F70+F83</f>
        <v>4884.3785699798036</v>
      </c>
    </row>
    <row r="101" spans="1:6" ht="68.25" customHeight="1">
      <c r="A101" s="20" t="s">
        <v>187</v>
      </c>
      <c r="B101" s="387" t="s">
        <v>188</v>
      </c>
      <c r="C101" s="387"/>
      <c r="D101" s="87"/>
      <c r="E101" s="73" t="s">
        <v>120</v>
      </c>
      <c r="F101" s="73" t="s">
        <v>120</v>
      </c>
    </row>
    <row r="102" spans="1:6">
      <c r="A102" s="21" t="s">
        <v>121</v>
      </c>
      <c r="B102" s="398" t="s">
        <v>189</v>
      </c>
      <c r="C102" s="398"/>
      <c r="D102" s="35"/>
      <c r="E102" s="85"/>
      <c r="F102" s="85"/>
    </row>
    <row r="103" spans="1:6" ht="15.75" customHeight="1">
      <c r="A103" s="384" t="s">
        <v>136</v>
      </c>
      <c r="B103" s="384"/>
      <c r="C103" s="384"/>
      <c r="D103" s="35"/>
      <c r="E103" s="86">
        <f>E102</f>
        <v>0</v>
      </c>
      <c r="F103" s="86">
        <f>F102</f>
        <v>0</v>
      </c>
    </row>
    <row r="104" spans="1:6" ht="30" customHeight="1">
      <c r="A104" s="26"/>
      <c r="B104" s="4"/>
      <c r="C104" s="4"/>
      <c r="D104" s="4"/>
      <c r="E104" s="4"/>
      <c r="F104" s="4"/>
    </row>
    <row r="105" spans="1:6">
      <c r="A105" s="397" t="s">
        <v>190</v>
      </c>
      <c r="B105" s="397"/>
      <c r="C105" s="397"/>
      <c r="D105" s="397"/>
      <c r="E105" s="397"/>
      <c r="F105" s="397"/>
    </row>
    <row r="106" spans="1:6">
      <c r="A106" s="41">
        <v>4</v>
      </c>
      <c r="B106" s="387" t="s">
        <v>191</v>
      </c>
      <c r="C106" s="387"/>
      <c r="D106" s="87"/>
      <c r="E106" s="41" t="s">
        <v>120</v>
      </c>
      <c r="F106" s="41" t="s">
        <v>120</v>
      </c>
    </row>
    <row r="107" spans="1:6">
      <c r="A107" s="43" t="s">
        <v>175</v>
      </c>
      <c r="B107" s="386" t="s">
        <v>192</v>
      </c>
      <c r="C107" s="386"/>
      <c r="D107" s="35"/>
      <c r="E107" s="85">
        <f>E97</f>
        <v>139.67155974320116</v>
      </c>
      <c r="F107" s="85">
        <f t="shared" ref="F107" si="9">F97</f>
        <v>145.8574937596469</v>
      </c>
    </row>
    <row r="108" spans="1:6">
      <c r="A108" s="43" t="s">
        <v>187</v>
      </c>
      <c r="B108" s="386" t="s">
        <v>193</v>
      </c>
      <c r="C108" s="386"/>
      <c r="D108" s="35"/>
      <c r="E108" s="85">
        <f>E103</f>
        <v>0</v>
      </c>
      <c r="F108" s="85">
        <f t="shared" ref="F108" si="10">F103</f>
        <v>0</v>
      </c>
    </row>
    <row r="109" spans="1:6">
      <c r="A109" s="384" t="s">
        <v>136</v>
      </c>
      <c r="B109" s="384"/>
      <c r="C109" s="384"/>
      <c r="D109" s="35"/>
      <c r="E109" s="86">
        <f>SUM(E107:E108)</f>
        <v>139.67155974320116</v>
      </c>
      <c r="F109" s="86">
        <f t="shared" ref="F109" si="11">SUM(F107:F108)</f>
        <v>145.8574937596469</v>
      </c>
    </row>
    <row r="110" spans="1:6">
      <c r="A110" s="4"/>
      <c r="B110" s="4"/>
      <c r="C110" s="4"/>
      <c r="D110" s="4"/>
      <c r="E110" s="4"/>
      <c r="F110" s="4"/>
    </row>
    <row r="111" spans="1:6">
      <c r="A111" s="4"/>
      <c r="B111" s="4"/>
      <c r="C111" s="4"/>
      <c r="D111" s="4"/>
      <c r="E111" s="4"/>
      <c r="F111" s="4"/>
    </row>
    <row r="112" spans="1:6">
      <c r="A112" s="351" t="s">
        <v>50</v>
      </c>
      <c r="B112" s="351"/>
      <c r="C112" s="351"/>
      <c r="D112" s="351"/>
      <c r="E112" s="351"/>
      <c r="F112" s="351"/>
    </row>
    <row r="113" spans="1:6">
      <c r="A113" s="41">
        <v>5</v>
      </c>
      <c r="B113" s="387" t="s">
        <v>194</v>
      </c>
      <c r="C113" s="387"/>
      <c r="D113" s="87"/>
      <c r="E113" s="41" t="s">
        <v>120</v>
      </c>
      <c r="F113" s="41" t="s">
        <v>120</v>
      </c>
    </row>
    <row r="114" spans="1:6" s="234" customFormat="1">
      <c r="A114" s="15" t="s">
        <v>121</v>
      </c>
      <c r="B114" s="386" t="s">
        <v>195</v>
      </c>
      <c r="C114" s="386"/>
      <c r="D114" s="228"/>
      <c r="E114" s="229">
        <f>UNIFORMES!$F$18</f>
        <v>71.998888888888885</v>
      </c>
      <c r="F114" s="229">
        <f>UNIFORMES!F47</f>
        <v>80.668888888888887</v>
      </c>
    </row>
    <row r="115" spans="1:6" s="234" customFormat="1">
      <c r="A115" s="15" t="s">
        <v>122</v>
      </c>
      <c r="B115" s="386" t="s">
        <v>41</v>
      </c>
      <c r="C115" s="386"/>
      <c r="D115" s="228"/>
      <c r="E115" s="229">
        <f>EQUIPAMENTOS!$V$24</f>
        <v>37.731760833333333</v>
      </c>
      <c r="F115" s="229">
        <f>EQUIPAMENTOS!$V$24</f>
        <v>37.731760833333333</v>
      </c>
    </row>
    <row r="116" spans="1:6" s="234" customFormat="1">
      <c r="A116" s="15" t="s">
        <v>124</v>
      </c>
      <c r="B116" s="386" t="s">
        <v>196</v>
      </c>
      <c r="C116" s="386"/>
      <c r="D116" s="228"/>
      <c r="E116" s="229">
        <f>UTENSÍLIOS!$V$76</f>
        <v>305.55416666666667</v>
      </c>
      <c r="F116" s="229">
        <f>UTENSÍLIOS!$V$76</f>
        <v>305.55416666666667</v>
      </c>
    </row>
    <row r="117" spans="1:6" s="234" customFormat="1">
      <c r="A117" s="15" t="s">
        <v>126</v>
      </c>
      <c r="B117" s="386" t="s">
        <v>197</v>
      </c>
      <c r="C117" s="386"/>
      <c r="D117" s="228"/>
      <c r="E117" s="229">
        <f>INSUMOS!$U$52</f>
        <v>205.56000000000003</v>
      </c>
      <c r="F117" s="229">
        <f>INSUMOS!$U$52</f>
        <v>205.56000000000003</v>
      </c>
    </row>
    <row r="118" spans="1:6" s="234" customFormat="1">
      <c r="A118" s="15" t="s">
        <v>128</v>
      </c>
      <c r="B118" s="386" t="s">
        <v>198</v>
      </c>
      <c r="C118" s="386"/>
      <c r="D118" s="228"/>
      <c r="E118" s="229"/>
      <c r="F118" s="229"/>
    </row>
    <row r="119" spans="1:6" s="234" customFormat="1">
      <c r="A119" s="384" t="s">
        <v>155</v>
      </c>
      <c r="B119" s="384"/>
      <c r="C119" s="384"/>
      <c r="D119" s="228"/>
      <c r="E119" s="230">
        <f>SUM(E114:E118)</f>
        <v>620.84481638888894</v>
      </c>
      <c r="F119" s="230">
        <f>SUM(F114:F118)</f>
        <v>629.5148163888889</v>
      </c>
    </row>
    <row r="120" spans="1:6">
      <c r="A120" s="4"/>
      <c r="B120" s="4"/>
      <c r="C120" s="4"/>
      <c r="D120" s="4"/>
      <c r="E120" s="4"/>
      <c r="F120" s="4"/>
    </row>
    <row r="121" spans="1:6">
      <c r="A121" s="351" t="s">
        <v>51</v>
      </c>
      <c r="B121" s="351"/>
      <c r="C121" s="351"/>
      <c r="D121" s="351"/>
      <c r="E121" s="351"/>
      <c r="F121" s="351"/>
    </row>
    <row r="122" spans="1:6">
      <c r="A122" s="3"/>
      <c r="B122" s="381" t="s">
        <v>199</v>
      </c>
      <c r="C122" s="381"/>
      <c r="D122" s="72"/>
      <c r="E122" s="10">
        <f>E31+E70+E83+E109+E119</f>
        <v>5437.7445092956277</v>
      </c>
      <c r="F122" s="10">
        <f t="shared" ref="F122" si="12">F31+F70+F83+F109+F119</f>
        <v>5659.7508801283393</v>
      </c>
    </row>
    <row r="123" spans="1:6">
      <c r="A123" s="3"/>
      <c r="B123" s="381" t="s">
        <v>200</v>
      </c>
      <c r="C123" s="381"/>
      <c r="D123" s="72"/>
      <c r="E123" s="10">
        <f>E122+E126</f>
        <v>5590.0013555559053</v>
      </c>
      <c r="F123" s="10">
        <f t="shared" ref="F123" si="13">F122+F126</f>
        <v>5818.2239047719331</v>
      </c>
    </row>
    <row r="124" spans="1:6">
      <c r="A124" s="3"/>
      <c r="B124" s="381" t="s">
        <v>201</v>
      </c>
      <c r="C124" s="381"/>
      <c r="D124" s="72"/>
      <c r="E124" s="10">
        <f>(E123+E127)/(1-E128)</f>
        <v>6726.9065875196957</v>
      </c>
      <c r="F124" s="10">
        <f>(F123+F127)/(1-F128)</f>
        <v>7001.54547794071</v>
      </c>
    </row>
    <row r="125" spans="1:6">
      <c r="A125" s="41">
        <v>6</v>
      </c>
      <c r="B125" s="41" t="s">
        <v>202</v>
      </c>
      <c r="C125" s="41" t="s">
        <v>140</v>
      </c>
      <c r="D125" s="41"/>
      <c r="E125" s="41" t="s">
        <v>120</v>
      </c>
      <c r="F125" s="41" t="s">
        <v>120</v>
      </c>
    </row>
    <row r="126" spans="1:6">
      <c r="A126" s="43" t="s">
        <v>121</v>
      </c>
      <c r="B126" s="6" t="s">
        <v>203</v>
      </c>
      <c r="C126" s="47" t="s">
        <v>52</v>
      </c>
      <c r="D126" s="47"/>
      <c r="E126" s="22">
        <f>E122*DADOS_BASICOS!B46</f>
        <v>152.25684626027757</v>
      </c>
      <c r="F126" s="22">
        <f>F122*DADOS_BASICOS!D46</f>
        <v>158.4730246435935</v>
      </c>
    </row>
    <row r="127" spans="1:6">
      <c r="A127" s="43" t="s">
        <v>122</v>
      </c>
      <c r="B127" s="6" t="s">
        <v>204</v>
      </c>
      <c r="C127" s="47" t="s">
        <v>52</v>
      </c>
      <c r="D127" s="47"/>
      <c r="E127" s="22">
        <f>E123*DADOS_BASICOS!B56</f>
        <v>178.32104324223337</v>
      </c>
      <c r="F127" s="22">
        <f>F123*DADOS_BASICOS!D56</f>
        <v>185.60134256222466</v>
      </c>
    </row>
    <row r="128" spans="1:6">
      <c r="A128" s="43" t="s">
        <v>124</v>
      </c>
      <c r="B128" s="5" t="s">
        <v>205</v>
      </c>
      <c r="C128" s="18"/>
      <c r="D128" s="18"/>
      <c r="E128" s="224">
        <f>SUM($C$129:$C$131,$C$133,DADOS_BASICOS!B66)</f>
        <v>0.14250000000000002</v>
      </c>
      <c r="F128" s="224">
        <f>SUM($C$129:$C$131,$C$133,DADOS_BASICOS!D66)</f>
        <v>0.14250000000000002</v>
      </c>
    </row>
    <row r="129" spans="1:6" ht="31.5" customHeight="1">
      <c r="A129" s="43"/>
      <c r="B129" s="5" t="s">
        <v>206</v>
      </c>
      <c r="C129" s="18">
        <v>7.5999999999999998E-2</v>
      </c>
      <c r="D129" s="18"/>
      <c r="E129" s="22">
        <f>E124*$C$129</f>
        <v>511.24490065149683</v>
      </c>
      <c r="F129" s="22">
        <f t="shared" ref="F129" si="14">F124*$C$129</f>
        <v>532.11745632349391</v>
      </c>
    </row>
    <row r="130" spans="1:6">
      <c r="A130" s="43"/>
      <c r="B130" s="5" t="s">
        <v>207</v>
      </c>
      <c r="C130" s="18">
        <v>1.6500000000000001E-2</v>
      </c>
      <c r="D130" s="18"/>
      <c r="E130" s="22">
        <f>E124*$C$130</f>
        <v>110.99395869407499</v>
      </c>
      <c r="F130" s="22">
        <f t="shared" ref="F130" si="15">F124*$C$130</f>
        <v>115.52550038602172</v>
      </c>
    </row>
    <row r="131" spans="1:6">
      <c r="A131" s="43"/>
      <c r="B131" s="5" t="s">
        <v>208</v>
      </c>
      <c r="C131" s="18"/>
      <c r="D131" s="18"/>
      <c r="E131" s="22">
        <f>E124*$C$131</f>
        <v>0</v>
      </c>
      <c r="F131" s="22">
        <f t="shared" ref="F131" si="16">F124*$C$131</f>
        <v>0</v>
      </c>
    </row>
    <row r="132" spans="1:6">
      <c r="A132" s="43"/>
      <c r="B132" s="5" t="s">
        <v>209</v>
      </c>
      <c r="C132" s="34" t="s">
        <v>52</v>
      </c>
      <c r="D132" s="34"/>
      <c r="E132" s="22">
        <f>E124*DADOS_BASICOS!B66</f>
        <v>336.34532937598482</v>
      </c>
      <c r="F132" s="22">
        <f>F124*DADOS_BASICOS!D66</f>
        <v>350.07727389703552</v>
      </c>
    </row>
    <row r="133" spans="1:6" ht="31.2">
      <c r="A133" s="43"/>
      <c r="B133" s="6" t="s">
        <v>210</v>
      </c>
      <c r="C133" s="34"/>
      <c r="D133" s="34"/>
      <c r="E133" s="22"/>
      <c r="F133" s="22"/>
    </row>
    <row r="134" spans="1:6">
      <c r="A134" s="319" t="s">
        <v>143</v>
      </c>
      <c r="B134" s="319"/>
      <c r="C134" s="18"/>
      <c r="D134" s="18"/>
      <c r="E134" s="30">
        <f>SUM(E126:E127,E129:E133)</f>
        <v>1289.1620782240677</v>
      </c>
      <c r="F134" s="30">
        <f>SUM(F126:F127,F129:F133)</f>
        <v>1341.7945978123694</v>
      </c>
    </row>
    <row r="135" spans="1:6">
      <c r="A135" s="40"/>
      <c r="B135" s="40"/>
      <c r="C135" s="40"/>
      <c r="D135" s="40"/>
      <c r="E135" s="40"/>
      <c r="F135" s="40"/>
    </row>
    <row r="136" spans="1:6" ht="14.4" customHeight="1">
      <c r="A136" s="4"/>
      <c r="B136" s="4"/>
      <c r="C136" s="4"/>
      <c r="D136" s="4"/>
      <c r="E136" s="4"/>
      <c r="F136" s="4"/>
    </row>
    <row r="137" spans="1:6">
      <c r="A137" s="351" t="s">
        <v>211</v>
      </c>
      <c r="B137" s="351"/>
      <c r="C137" s="351"/>
      <c r="D137" s="351"/>
      <c r="E137" s="351"/>
      <c r="F137" s="351"/>
    </row>
    <row r="138" spans="1:6">
      <c r="A138" s="4"/>
      <c r="B138" s="4"/>
      <c r="C138" s="4"/>
      <c r="D138" s="4"/>
      <c r="E138" s="4"/>
      <c r="F138" s="4"/>
    </row>
    <row r="139" spans="1:6">
      <c r="A139" s="41"/>
      <c r="B139" s="380" t="s">
        <v>212</v>
      </c>
      <c r="C139" s="380"/>
      <c r="D139" s="83"/>
      <c r="E139" s="41" t="s">
        <v>120</v>
      </c>
      <c r="F139" s="41" t="s">
        <v>120</v>
      </c>
    </row>
    <row r="140" spans="1:6">
      <c r="A140" s="37" t="s">
        <v>121</v>
      </c>
      <c r="B140" s="383" t="s">
        <v>118</v>
      </c>
      <c r="C140" s="383"/>
      <c r="D140" s="85"/>
      <c r="E140" s="85">
        <f>E31</f>
        <v>2293.1999999999998</v>
      </c>
      <c r="F140" s="85">
        <f t="shared" ref="F140" si="17">F31</f>
        <v>2415.1999999999998</v>
      </c>
    </row>
    <row r="141" spans="1:6" ht="19.5" customHeight="1">
      <c r="A141" s="37" t="s">
        <v>122</v>
      </c>
      <c r="B141" s="383" t="s">
        <v>137</v>
      </c>
      <c r="C141" s="383"/>
      <c r="D141" s="35"/>
      <c r="E141" s="85">
        <f>E70</f>
        <v>2244.4112095999999</v>
      </c>
      <c r="F141" s="85">
        <f t="shared" ref="F141" si="18">F70</f>
        <v>2323.4096255999993</v>
      </c>
    </row>
    <row r="142" spans="1:6" s="90" customFormat="1">
      <c r="A142" s="231" t="s">
        <v>124</v>
      </c>
      <c r="B142" s="220" t="s">
        <v>45</v>
      </c>
      <c r="C142" s="96"/>
      <c r="D142" s="96"/>
      <c r="E142" s="232">
        <f>E83</f>
        <v>139.61692356353777</v>
      </c>
      <c r="F142" s="232">
        <f>F83</f>
        <v>145.76894437980442</v>
      </c>
    </row>
    <row r="143" spans="1:6" s="90" customFormat="1">
      <c r="A143" s="231" t="s">
        <v>126</v>
      </c>
      <c r="B143" s="220" t="s">
        <v>46</v>
      </c>
      <c r="C143" s="96"/>
      <c r="D143" s="96"/>
      <c r="E143" s="232">
        <f>E109</f>
        <v>139.67155974320116</v>
      </c>
      <c r="F143" s="232">
        <f t="shared" ref="F143" si="19">F109</f>
        <v>145.8574937596469</v>
      </c>
    </row>
    <row r="144" spans="1:6" s="90" customFormat="1">
      <c r="A144" s="231" t="s">
        <v>128</v>
      </c>
      <c r="B144" s="220" t="s">
        <v>50</v>
      </c>
      <c r="C144" s="96"/>
      <c r="D144" s="96"/>
      <c r="E144" s="232">
        <f>E119</f>
        <v>620.84481638888894</v>
      </c>
      <c r="F144" s="232">
        <f t="shared" ref="F144" si="20">F119</f>
        <v>629.5148163888889</v>
      </c>
    </row>
    <row r="145" spans="1:6" s="90" customFormat="1" ht="15.75" customHeight="1">
      <c r="A145" s="385" t="s">
        <v>220</v>
      </c>
      <c r="B145" s="385"/>
      <c r="C145" s="385"/>
      <c r="D145" s="96"/>
      <c r="E145" s="233">
        <f>SUM(E140:E144)</f>
        <v>5437.7445092956277</v>
      </c>
      <c r="F145" s="233">
        <f>SUM(F140:F144)</f>
        <v>5659.7508801283393</v>
      </c>
    </row>
    <row r="146" spans="1:6">
      <c r="A146" s="37" t="s">
        <v>130</v>
      </c>
      <c r="B146" s="319" t="s">
        <v>214</v>
      </c>
      <c r="C146" s="319"/>
      <c r="D146" s="35"/>
      <c r="E146" s="85">
        <f>E134</f>
        <v>1289.1620782240677</v>
      </c>
      <c r="F146" s="85">
        <f t="shared" ref="F146" si="21">F134</f>
        <v>1341.7945978123694</v>
      </c>
    </row>
    <row r="147" spans="1:6" ht="15.75" customHeight="1">
      <c r="A147" s="379" t="s">
        <v>215</v>
      </c>
      <c r="B147" s="379"/>
      <c r="C147" s="379"/>
      <c r="D147" s="35"/>
      <c r="E147" s="88">
        <f>ROUND(SUM(E145+E146),2)</f>
        <v>6726.91</v>
      </c>
      <c r="F147" s="88">
        <f t="shared" ref="F147" si="22">ROUND(SUM(F145+F146),2)</f>
        <v>7001.55</v>
      </c>
    </row>
  </sheetData>
  <mergeCells count="85">
    <mergeCell ref="B141:C141"/>
    <mergeCell ref="A145:C145"/>
    <mergeCell ref="B146:C146"/>
    <mergeCell ref="A147:C147"/>
    <mergeCell ref="B123:C123"/>
    <mergeCell ref="B124:C124"/>
    <mergeCell ref="A134:B134"/>
    <mergeCell ref="A137:F137"/>
    <mergeCell ref="B139:C139"/>
    <mergeCell ref="B140:C140"/>
    <mergeCell ref="B122:C122"/>
    <mergeCell ref="B107:C107"/>
    <mergeCell ref="B108:C108"/>
    <mergeCell ref="A109:C109"/>
    <mergeCell ref="A112:F112"/>
    <mergeCell ref="B113:C113"/>
    <mergeCell ref="B114:C114"/>
    <mergeCell ref="B115:C115"/>
    <mergeCell ref="B116:C116"/>
    <mergeCell ref="B118:C118"/>
    <mergeCell ref="A119:C119"/>
    <mergeCell ref="A121:F121"/>
    <mergeCell ref="B117:C117"/>
    <mergeCell ref="B106:C106"/>
    <mergeCell ref="A83:B83"/>
    <mergeCell ref="A85:F85"/>
    <mergeCell ref="A86:F86"/>
    <mergeCell ref="A88:C88"/>
    <mergeCell ref="A97:C97"/>
    <mergeCell ref="A99:E99"/>
    <mergeCell ref="A100:C100"/>
    <mergeCell ref="B101:C101"/>
    <mergeCell ref="B102:C102"/>
    <mergeCell ref="A103:C103"/>
    <mergeCell ref="A105:F105"/>
    <mergeCell ref="A75:C75"/>
    <mergeCell ref="A52:B52"/>
    <mergeCell ref="A54:F54"/>
    <mergeCell ref="A62:C62"/>
    <mergeCell ref="A64:F64"/>
    <mergeCell ref="B66:C66"/>
    <mergeCell ref="B67:C67"/>
    <mergeCell ref="B68:C68"/>
    <mergeCell ref="B69:C69"/>
    <mergeCell ref="A70:C70"/>
    <mergeCell ref="A73:F73"/>
    <mergeCell ref="A74:C74"/>
    <mergeCell ref="B55:C55"/>
    <mergeCell ref="B56:C56"/>
    <mergeCell ref="B57:C57"/>
    <mergeCell ref="B58:C58"/>
    <mergeCell ref="A42:C42"/>
    <mergeCell ref="B25:C25"/>
    <mergeCell ref="B26:C26"/>
    <mergeCell ref="B27:C27"/>
    <mergeCell ref="B28:C28"/>
    <mergeCell ref="B29:C29"/>
    <mergeCell ref="B30:C30"/>
    <mergeCell ref="A31:C31"/>
    <mergeCell ref="A33:F33"/>
    <mergeCell ref="A35:F35"/>
    <mergeCell ref="A39:B39"/>
    <mergeCell ref="A41:F41"/>
    <mergeCell ref="B17:C17"/>
    <mergeCell ref="B11:C11"/>
    <mergeCell ref="A20:F20"/>
    <mergeCell ref="B22:C22"/>
    <mergeCell ref="B23:C23"/>
    <mergeCell ref="B18:C18"/>
    <mergeCell ref="B59:C59"/>
    <mergeCell ref="B60:C60"/>
    <mergeCell ref="B61:C61"/>
    <mergeCell ref="B12:C12"/>
    <mergeCell ref="A1:E1"/>
    <mergeCell ref="A3:E3"/>
    <mergeCell ref="A4:E4"/>
    <mergeCell ref="A6:F6"/>
    <mergeCell ref="B8:C8"/>
    <mergeCell ref="B24:C24"/>
    <mergeCell ref="B13:C13"/>
    <mergeCell ref="B10:C10"/>
    <mergeCell ref="B14:C14"/>
    <mergeCell ref="B15:C15"/>
    <mergeCell ref="B9:C9"/>
    <mergeCell ref="B16:C16"/>
  </mergeCells>
  <pageMargins left="0.511811023622047" right="0.511811023622047" top="0.78740157480314998" bottom="0.78740157480314998" header="0.31496062992126" footer="0.31496062992126"/>
  <pageSetup paperSize="3" fitToHeight="0" orientation="landscape" r:id="rId1"/>
  <headerFooter>
    <oddFooter>&amp;C&amp;A
&amp;P de &amp;N</oddFooter>
  </headerFooter>
  <rowBreaks count="4" manualBreakCount="4">
    <brk id="39" max="5" man="1"/>
    <brk id="70" max="5" man="1"/>
    <brk id="97" max="5" man="1"/>
    <brk id="119" max="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0CF32-96F4-4912-B0DB-9EA1813A023F}">
  <sheetPr>
    <pageSetUpPr fitToPage="1"/>
  </sheetPr>
  <dimension ref="A1:F145"/>
  <sheetViews>
    <sheetView view="pageBreakPreview" topLeftCell="A138" zoomScaleNormal="90" zoomScaleSheetLayoutView="100" workbookViewId="0">
      <selection activeCell="B157" sqref="B157"/>
    </sheetView>
  </sheetViews>
  <sheetFormatPr defaultColWidth="8.5546875" defaultRowHeight="15.6"/>
  <cols>
    <col min="1" max="1" width="8.5546875" style="1"/>
    <col min="2" max="2" width="64.109375" style="1" customWidth="1"/>
    <col min="3" max="3" width="18" style="1" customWidth="1"/>
    <col min="4" max="4" width="3.5546875" style="1" customWidth="1"/>
    <col min="5" max="5" width="40.5546875" style="1" customWidth="1"/>
    <col min="6" max="6" width="41.88671875" style="1" customWidth="1"/>
    <col min="7" max="8" width="12.44140625" style="1" customWidth="1"/>
    <col min="9" max="10" width="8.5546875" style="1"/>
    <col min="11" max="11" width="9.109375" style="1" bestFit="1" customWidth="1"/>
    <col min="12" max="16384" width="8.5546875" style="1"/>
  </cols>
  <sheetData>
    <row r="1" spans="1:6" ht="25.5" customHeight="1">
      <c r="A1" s="320" t="s">
        <v>10</v>
      </c>
      <c r="B1" s="320"/>
      <c r="C1" s="320"/>
      <c r="D1" s="320"/>
      <c r="E1" s="320"/>
      <c r="F1" s="124"/>
    </row>
    <row r="2" spans="1:6" ht="9.75" customHeight="1">
      <c r="A2" s="2"/>
      <c r="B2" s="2"/>
      <c r="C2" s="2"/>
      <c r="D2" s="2"/>
      <c r="E2" s="2"/>
      <c r="F2" s="2"/>
    </row>
    <row r="3" spans="1:6">
      <c r="A3" s="321" t="str">
        <f>PROPOSTA_GLOBAL!A4</f>
        <v>SUPERINTENDÊNCIA REGIONAL DA POLÍCIA FEDERAL NO PARANÁ</v>
      </c>
      <c r="B3" s="321"/>
      <c r="C3" s="321"/>
      <c r="D3" s="321"/>
      <c r="E3" s="321"/>
      <c r="F3" s="125"/>
    </row>
    <row r="4" spans="1:6">
      <c r="A4" s="321" t="str">
        <f>PROPOSTA_GLOBAL!A5</f>
        <v>PROCESSO ADMINISTRATIVO SEI Nº 08385.000837/2025-50</v>
      </c>
      <c r="B4" s="321"/>
      <c r="C4" s="321"/>
      <c r="D4" s="321"/>
      <c r="E4" s="321"/>
      <c r="F4" s="125"/>
    </row>
    <row r="5" spans="1:6" ht="8.25" customHeight="1">
      <c r="A5" s="2"/>
      <c r="B5" s="2"/>
      <c r="C5" s="2"/>
      <c r="D5" s="2"/>
      <c r="E5" s="2"/>
      <c r="F5" s="2"/>
    </row>
    <row r="6" spans="1:6" ht="7.5" customHeight="1">
      <c r="A6" s="351"/>
      <c r="B6" s="351"/>
      <c r="C6" s="351"/>
      <c r="D6" s="351"/>
      <c r="E6" s="351"/>
      <c r="F6" s="351"/>
    </row>
    <row r="7" spans="1:6" ht="14.25" customHeight="1">
      <c r="A7" s="3"/>
      <c r="B7" s="3"/>
      <c r="C7" s="3"/>
      <c r="D7" s="3"/>
      <c r="E7" s="36"/>
      <c r="F7" s="36"/>
    </row>
    <row r="8" spans="1:6">
      <c r="A8" s="37">
        <v>1</v>
      </c>
      <c r="B8" s="394" t="s">
        <v>102</v>
      </c>
      <c r="C8" s="394"/>
      <c r="D8" s="77"/>
      <c r="E8" s="65" t="s">
        <v>103</v>
      </c>
      <c r="F8" s="65" t="s">
        <v>103</v>
      </c>
    </row>
    <row r="9" spans="1:6">
      <c r="A9" s="37">
        <v>2</v>
      </c>
      <c r="B9" s="394" t="s">
        <v>108</v>
      </c>
      <c r="C9" s="394"/>
      <c r="D9" s="77"/>
      <c r="E9" s="76" t="s">
        <v>223</v>
      </c>
      <c r="F9" s="76" t="s">
        <v>223</v>
      </c>
    </row>
    <row r="10" spans="1:6">
      <c r="A10" s="37">
        <v>3</v>
      </c>
      <c r="B10" s="394" t="s">
        <v>106</v>
      </c>
      <c r="C10" s="394"/>
      <c r="D10" s="77"/>
      <c r="E10" s="89" t="str">
        <f>DADOS_BASICOS!C13</f>
        <v>Servente de limpeza</v>
      </c>
      <c r="F10" s="89" t="str">
        <f>DADOS_BASICOS!C13</f>
        <v>Servente de limpeza</v>
      </c>
    </row>
    <row r="11" spans="1:6">
      <c r="A11" s="37">
        <v>4</v>
      </c>
      <c r="B11" s="394" t="s">
        <v>116</v>
      </c>
      <c r="C11" s="394"/>
      <c r="D11" s="77"/>
      <c r="E11" s="76" t="s">
        <v>115</v>
      </c>
      <c r="F11" s="76" t="s">
        <v>114</v>
      </c>
    </row>
    <row r="12" spans="1:6">
      <c r="A12" s="37">
        <v>5</v>
      </c>
      <c r="B12" s="394" t="s">
        <v>104</v>
      </c>
      <c r="C12" s="394"/>
      <c r="D12" s="77"/>
      <c r="E12" s="78" t="str">
        <f>DADOS_BASICOS!C14</f>
        <v>5143-20</v>
      </c>
      <c r="F12" s="78" t="str">
        <f>DADOS_BASICOS!C14</f>
        <v>5143-20</v>
      </c>
    </row>
    <row r="13" spans="1:6">
      <c r="A13" s="37">
        <v>6</v>
      </c>
      <c r="B13" s="394" t="s">
        <v>105</v>
      </c>
      <c r="C13" s="394"/>
      <c r="D13" s="77"/>
      <c r="E13" s="267">
        <f>DADOS_BASICOS!C17</f>
        <v>1764</v>
      </c>
      <c r="F13" s="267">
        <f>DADOS_BASICOS!C17</f>
        <v>1764</v>
      </c>
    </row>
    <row r="14" spans="1:6">
      <c r="A14" s="37">
        <v>7</v>
      </c>
      <c r="B14" s="388" t="s">
        <v>107</v>
      </c>
      <c r="C14" s="389"/>
      <c r="D14" s="77"/>
      <c r="E14" s="290">
        <f>DADOS_BASICOS!C16</f>
        <v>45689</v>
      </c>
      <c r="F14" s="290">
        <f>DADOS_BASICOS!C16</f>
        <v>45689</v>
      </c>
    </row>
    <row r="15" spans="1:6">
      <c r="A15" s="37">
        <v>8</v>
      </c>
      <c r="B15" s="394" t="s">
        <v>82</v>
      </c>
      <c r="C15" s="394"/>
      <c r="D15" s="77"/>
      <c r="E15" s="94">
        <f>DADOS_BASICOS!C18</f>
        <v>40</v>
      </c>
      <c r="F15" s="94">
        <f>DADOS_BASICOS!C18</f>
        <v>40</v>
      </c>
    </row>
    <row r="16" spans="1:6">
      <c r="A16" s="37">
        <v>9</v>
      </c>
      <c r="B16" s="394" t="s">
        <v>112</v>
      </c>
      <c r="C16" s="394"/>
      <c r="D16" s="77"/>
      <c r="E16" s="76" t="str">
        <f>DADOS_BASICOS!C15</f>
        <v>PR000074/2025</v>
      </c>
      <c r="F16" s="76" t="str">
        <f>DADOS_BASICOS!C15</f>
        <v>PR000074/2025</v>
      </c>
    </row>
    <row r="17" spans="1:6" ht="15.75" customHeight="1">
      <c r="A17" s="37">
        <v>10</v>
      </c>
      <c r="B17" s="394" t="s">
        <v>113</v>
      </c>
      <c r="C17" s="394"/>
      <c r="D17" s="77"/>
      <c r="E17" s="76" t="s">
        <v>114</v>
      </c>
      <c r="F17" s="76" t="s">
        <v>114</v>
      </c>
    </row>
    <row r="18" spans="1:6" ht="15.75" customHeight="1">
      <c r="A18" s="37">
        <v>11</v>
      </c>
      <c r="B18" s="394" t="s">
        <v>117</v>
      </c>
      <c r="C18" s="394"/>
      <c r="D18" s="77"/>
      <c r="E18" s="94">
        <f>PRODUTIVIDADE!K192-1</f>
        <v>1</v>
      </c>
      <c r="F18" s="94">
        <v>1</v>
      </c>
    </row>
    <row r="19" spans="1:6" ht="15.75" customHeight="1">
      <c r="A19" s="4"/>
      <c r="B19" s="4"/>
      <c r="C19" s="4"/>
      <c r="D19" s="4"/>
      <c r="E19" s="4"/>
      <c r="F19" s="4"/>
    </row>
    <row r="20" spans="1:6">
      <c r="A20" s="351" t="s">
        <v>118</v>
      </c>
      <c r="B20" s="351"/>
      <c r="C20" s="351"/>
      <c r="D20" s="351"/>
      <c r="E20" s="351"/>
      <c r="F20" s="351"/>
    </row>
    <row r="21" spans="1:6">
      <c r="A21" s="4"/>
      <c r="B21" s="4"/>
      <c r="C21" s="4"/>
      <c r="D21" s="4"/>
      <c r="E21" s="4"/>
      <c r="F21" s="4"/>
    </row>
    <row r="22" spans="1:6">
      <c r="A22" s="41">
        <v>1</v>
      </c>
      <c r="B22" s="373" t="s">
        <v>119</v>
      </c>
      <c r="C22" s="374"/>
      <c r="D22" s="66"/>
      <c r="E22" s="38" t="s">
        <v>120</v>
      </c>
      <c r="F22" s="38" t="s">
        <v>120</v>
      </c>
    </row>
    <row r="23" spans="1:6" ht="15.6" customHeight="1">
      <c r="A23" s="43" t="s">
        <v>121</v>
      </c>
      <c r="B23" s="390" t="s">
        <v>563</v>
      </c>
      <c r="C23" s="391"/>
      <c r="D23" s="67"/>
      <c r="E23" s="45">
        <f>DADOS_BASICOS!C19</f>
        <v>1764</v>
      </c>
      <c r="F23" s="45">
        <f>DADOS_BASICOS!C19</f>
        <v>1764</v>
      </c>
    </row>
    <row r="24" spans="1:6" ht="15.6" customHeight="1">
      <c r="A24" s="43" t="s">
        <v>122</v>
      </c>
      <c r="B24" s="392" t="s">
        <v>123</v>
      </c>
      <c r="C24" s="393"/>
      <c r="D24" s="68"/>
      <c r="E24" s="44">
        <f>IF(E17="SIM",(E23*0.3),0)</f>
        <v>529.19999999999993</v>
      </c>
      <c r="F24" s="44">
        <f>IF(F17="SIM",(F23*0.3),0)</f>
        <v>529.19999999999993</v>
      </c>
    </row>
    <row r="25" spans="1:6">
      <c r="A25" s="43" t="s">
        <v>124</v>
      </c>
      <c r="B25" s="371" t="s">
        <v>125</v>
      </c>
      <c r="C25" s="372"/>
      <c r="D25" s="69"/>
      <c r="E25" s="44">
        <v>0</v>
      </c>
      <c r="F25" s="44">
        <v>0</v>
      </c>
    </row>
    <row r="26" spans="1:6">
      <c r="A26" s="43" t="s">
        <v>126</v>
      </c>
      <c r="B26" s="388" t="s">
        <v>127</v>
      </c>
      <c r="C26" s="389"/>
      <c r="D26" s="70"/>
      <c r="E26" s="44">
        <v>0</v>
      </c>
      <c r="F26" s="44">
        <v>0</v>
      </c>
    </row>
    <row r="27" spans="1:6">
      <c r="A27" s="43" t="s">
        <v>128</v>
      </c>
      <c r="B27" s="388" t="s">
        <v>129</v>
      </c>
      <c r="C27" s="389"/>
      <c r="D27" s="70"/>
      <c r="E27" s="44">
        <v>0</v>
      </c>
      <c r="F27" s="44">
        <v>0</v>
      </c>
    </row>
    <row r="28" spans="1:6">
      <c r="A28" s="43" t="s">
        <v>130</v>
      </c>
      <c r="B28" s="392" t="s">
        <v>131</v>
      </c>
      <c r="C28" s="393"/>
      <c r="D28" s="68"/>
      <c r="E28" s="266">
        <v>0</v>
      </c>
      <c r="F28" s="266">
        <v>0</v>
      </c>
    </row>
    <row r="29" spans="1:6">
      <c r="A29" s="43" t="s">
        <v>132</v>
      </c>
      <c r="B29" s="392" t="s">
        <v>133</v>
      </c>
      <c r="C29" s="393"/>
      <c r="D29" s="68"/>
      <c r="E29" s="266">
        <f>IF(E11="SIM",DADOS_BASICOS!C20,0)</f>
        <v>0</v>
      </c>
      <c r="F29" s="266">
        <f>IF(F11="SIM",DADOS_BASICOS!C20,0)</f>
        <v>122</v>
      </c>
    </row>
    <row r="30" spans="1:6">
      <c r="A30" s="43" t="s">
        <v>134</v>
      </c>
      <c r="B30" s="392" t="s">
        <v>135</v>
      </c>
      <c r="C30" s="393"/>
      <c r="D30" s="68"/>
      <c r="E30" s="266">
        <v>0</v>
      </c>
      <c r="F30" s="266">
        <v>0</v>
      </c>
    </row>
    <row r="31" spans="1:6">
      <c r="A31" s="376" t="s">
        <v>136</v>
      </c>
      <c r="B31" s="377"/>
      <c r="C31" s="378"/>
      <c r="D31" s="71"/>
      <c r="E31" s="46">
        <f>SUM(E23:E30)</f>
        <v>2293.1999999999998</v>
      </c>
      <c r="F31" s="46">
        <f>SUM(F23:F30)</f>
        <v>2415.1999999999998</v>
      </c>
    </row>
    <row r="32" spans="1:6">
      <c r="A32" s="4"/>
      <c r="B32" s="4"/>
      <c r="C32" s="4"/>
      <c r="D32" s="4"/>
      <c r="E32" s="4"/>
      <c r="F32" s="4"/>
    </row>
    <row r="33" spans="1:6">
      <c r="A33" s="351" t="s">
        <v>137</v>
      </c>
      <c r="B33" s="351"/>
      <c r="C33" s="351"/>
      <c r="D33" s="351"/>
      <c r="E33" s="351"/>
      <c r="F33" s="351"/>
    </row>
    <row r="34" spans="1:6">
      <c r="A34" s="8"/>
      <c r="B34" s="4"/>
      <c r="C34" s="4"/>
      <c r="D34" s="4"/>
      <c r="E34" s="4"/>
      <c r="F34" s="4"/>
    </row>
    <row r="35" spans="1:6">
      <c r="A35" s="395" t="s">
        <v>42</v>
      </c>
      <c r="B35" s="395"/>
      <c r="C35" s="395"/>
      <c r="D35" s="395"/>
      <c r="E35" s="395"/>
      <c r="F35" s="395"/>
    </row>
    <row r="36" spans="1:6" ht="15.75" customHeight="1">
      <c r="A36" s="41" t="s">
        <v>138</v>
      </c>
      <c r="B36" s="41" t="s">
        <v>139</v>
      </c>
      <c r="C36" s="41" t="s">
        <v>140</v>
      </c>
      <c r="D36" s="41"/>
      <c r="E36" s="41" t="s">
        <v>120</v>
      </c>
      <c r="F36" s="41" t="s">
        <v>120</v>
      </c>
    </row>
    <row r="37" spans="1:6">
      <c r="A37" s="43" t="s">
        <v>121</v>
      </c>
      <c r="B37" s="5" t="s">
        <v>141</v>
      </c>
      <c r="C37" s="18">
        <f>1/12</f>
        <v>8.3333333333333329E-2</v>
      </c>
      <c r="D37" s="18"/>
      <c r="E37" s="9">
        <f>E$31*$C$37</f>
        <v>191.09999999999997</v>
      </c>
      <c r="F37" s="9">
        <f>F$31*$C$37</f>
        <v>201.26666666666665</v>
      </c>
    </row>
    <row r="38" spans="1:6" ht="15.75" customHeight="1">
      <c r="A38" s="43" t="s">
        <v>122</v>
      </c>
      <c r="B38" s="5" t="s">
        <v>142</v>
      </c>
      <c r="C38" s="47">
        <v>0.121</v>
      </c>
      <c r="D38" s="47"/>
      <c r="E38" s="9">
        <f>E$31*$C$38</f>
        <v>277.47719999999998</v>
      </c>
      <c r="F38" s="9">
        <f>F$31*$C$38</f>
        <v>292.23919999999998</v>
      </c>
    </row>
    <row r="39" spans="1:6">
      <c r="A39" s="379" t="s">
        <v>143</v>
      </c>
      <c r="B39" s="379"/>
      <c r="C39" s="43"/>
      <c r="D39" s="43"/>
      <c r="E39" s="29">
        <f>SUM(E37:E38)</f>
        <v>468.57719999999995</v>
      </c>
      <c r="F39" s="29">
        <f>SUM(F37:F38)</f>
        <v>493.50586666666663</v>
      </c>
    </row>
    <row r="40" spans="1:6">
      <c r="A40" s="4"/>
      <c r="B40" s="4"/>
      <c r="C40" s="4"/>
      <c r="D40" s="4"/>
      <c r="E40" s="4"/>
      <c r="F40" s="4"/>
    </row>
    <row r="41" spans="1:6" ht="15.75" customHeight="1">
      <c r="A41" s="396" t="s">
        <v>43</v>
      </c>
      <c r="B41" s="396"/>
      <c r="C41" s="396"/>
      <c r="D41" s="396"/>
      <c r="E41" s="396"/>
      <c r="F41" s="396"/>
    </row>
    <row r="42" spans="1:6" ht="15.75" customHeight="1">
      <c r="A42" s="375" t="s">
        <v>144</v>
      </c>
      <c r="B42" s="375"/>
      <c r="C42" s="375"/>
      <c r="D42" s="10"/>
      <c r="E42" s="10">
        <f>E31+E39</f>
        <v>2761.7771999999995</v>
      </c>
      <c r="F42" s="10">
        <f>F31+F39</f>
        <v>2908.7058666666662</v>
      </c>
    </row>
    <row r="43" spans="1:6" ht="32.25" customHeight="1">
      <c r="A43" s="41" t="s">
        <v>145</v>
      </c>
      <c r="B43" s="41" t="s">
        <v>146</v>
      </c>
      <c r="C43" s="41" t="s">
        <v>140</v>
      </c>
      <c r="D43" s="41"/>
      <c r="E43" s="41" t="s">
        <v>120</v>
      </c>
      <c r="F43" s="41" t="s">
        <v>120</v>
      </c>
    </row>
    <row r="44" spans="1:6">
      <c r="A44" s="43" t="s">
        <v>121</v>
      </c>
      <c r="B44" s="5" t="s">
        <v>147</v>
      </c>
      <c r="C44" s="27">
        <v>0.2</v>
      </c>
      <c r="D44" s="27"/>
      <c r="E44" s="28">
        <f>E$42*$C$44</f>
        <v>552.35543999999993</v>
      </c>
      <c r="F44" s="28">
        <f>F$42*$C$44</f>
        <v>581.74117333333322</v>
      </c>
    </row>
    <row r="45" spans="1:6">
      <c r="A45" s="43" t="s">
        <v>122</v>
      </c>
      <c r="B45" s="5" t="s">
        <v>148</v>
      </c>
      <c r="C45" s="11">
        <v>2.5000000000000001E-2</v>
      </c>
      <c r="D45" s="11"/>
      <c r="E45" s="28">
        <f>E$42*$C$45</f>
        <v>69.044429999999991</v>
      </c>
      <c r="F45" s="28">
        <f>F$42*$C$45</f>
        <v>72.717646666666653</v>
      </c>
    </row>
    <row r="46" spans="1:6">
      <c r="A46" s="43" t="s">
        <v>124</v>
      </c>
      <c r="B46" s="6" t="s">
        <v>149</v>
      </c>
      <c r="C46" s="47">
        <v>0.03</v>
      </c>
      <c r="D46" s="47"/>
      <c r="E46" s="28">
        <f>E$42*$C$46</f>
        <v>82.853315999999978</v>
      </c>
      <c r="F46" s="28">
        <f>F$42*$C$46</f>
        <v>87.261175999999978</v>
      </c>
    </row>
    <row r="47" spans="1:6">
      <c r="A47" s="43" t="s">
        <v>126</v>
      </c>
      <c r="B47" s="5" t="s">
        <v>150</v>
      </c>
      <c r="C47" s="11">
        <v>1.4999999999999999E-2</v>
      </c>
      <c r="D47" s="11"/>
      <c r="E47" s="28">
        <f>E$42*$C$47</f>
        <v>41.426657999999989</v>
      </c>
      <c r="F47" s="28">
        <f>F$42*$C$47</f>
        <v>43.630587999999989</v>
      </c>
    </row>
    <row r="48" spans="1:6">
      <c r="A48" s="43" t="s">
        <v>128</v>
      </c>
      <c r="B48" s="5" t="s">
        <v>151</v>
      </c>
      <c r="C48" s="11">
        <v>0.01</v>
      </c>
      <c r="D48" s="11"/>
      <c r="E48" s="28">
        <f>E$42*$C$48</f>
        <v>27.617771999999995</v>
      </c>
      <c r="F48" s="28">
        <f>F$42*$C$48</f>
        <v>29.087058666666664</v>
      </c>
    </row>
    <row r="49" spans="1:6">
      <c r="A49" s="43" t="s">
        <v>130</v>
      </c>
      <c r="B49" s="5" t="s">
        <v>152</v>
      </c>
      <c r="C49" s="11">
        <v>6.0000000000000001E-3</v>
      </c>
      <c r="D49" s="11"/>
      <c r="E49" s="28">
        <f>E$42*$C$49</f>
        <v>16.570663199999998</v>
      </c>
      <c r="F49" s="28">
        <f>F$42*$C$49</f>
        <v>17.452235199999997</v>
      </c>
    </row>
    <row r="50" spans="1:6">
      <c r="A50" s="43" t="s">
        <v>132</v>
      </c>
      <c r="B50" s="5" t="s">
        <v>153</v>
      </c>
      <c r="C50" s="11">
        <v>2E-3</v>
      </c>
      <c r="D50" s="11"/>
      <c r="E50" s="28">
        <f>E$42*$C$50</f>
        <v>5.5235543999999992</v>
      </c>
      <c r="F50" s="28">
        <f>F$42*$C$50</f>
        <v>5.8174117333333326</v>
      </c>
    </row>
    <row r="51" spans="1:6">
      <c r="A51" s="43" t="s">
        <v>134</v>
      </c>
      <c r="B51" s="5" t="s">
        <v>154</v>
      </c>
      <c r="C51" s="11">
        <v>0.08</v>
      </c>
      <c r="D51" s="11"/>
      <c r="E51" s="28">
        <f>E$42*$C$51</f>
        <v>220.94217599999996</v>
      </c>
      <c r="F51" s="28">
        <f>F$42*$C$51</f>
        <v>232.69646933333331</v>
      </c>
    </row>
    <row r="52" spans="1:6">
      <c r="A52" s="379" t="s">
        <v>155</v>
      </c>
      <c r="B52" s="379"/>
      <c r="C52" s="13">
        <f>SUM(C44:C51)</f>
        <v>0.36800000000000005</v>
      </c>
      <c r="D52" s="13"/>
      <c r="E52" s="29">
        <f>SUM(E44:E51)</f>
        <v>1016.3340095999997</v>
      </c>
      <c r="F52" s="29">
        <f t="shared" ref="F52" si="0">SUM(F44:F51)</f>
        <v>1070.4037589333329</v>
      </c>
    </row>
    <row r="53" spans="1:6" ht="15.75" customHeight="1">
      <c r="A53" s="14"/>
      <c r="B53" s="14"/>
      <c r="C53" s="14"/>
      <c r="D53" s="14"/>
      <c r="E53" s="14"/>
      <c r="F53" s="14"/>
    </row>
    <row r="54" spans="1:6">
      <c r="A54" s="343" t="s">
        <v>44</v>
      </c>
      <c r="B54" s="343"/>
      <c r="C54" s="343"/>
      <c r="D54" s="343"/>
      <c r="E54" s="343"/>
      <c r="F54" s="343"/>
    </row>
    <row r="55" spans="1:6">
      <c r="A55" s="41" t="s">
        <v>156</v>
      </c>
      <c r="B55" s="373" t="s">
        <v>157</v>
      </c>
      <c r="C55" s="374"/>
      <c r="D55" s="41"/>
      <c r="E55" s="41" t="s">
        <v>120</v>
      </c>
      <c r="F55" s="41" t="s">
        <v>120</v>
      </c>
    </row>
    <row r="56" spans="1:6" s="90" customFormat="1">
      <c r="A56" s="25" t="s">
        <v>121</v>
      </c>
      <c r="B56" s="390" t="s">
        <v>158</v>
      </c>
      <c r="C56" s="391"/>
      <c r="D56" s="48"/>
      <c r="E56" s="225">
        <f>DADOS_BASICOS!$E$36-(PONTA_GROSSA!E$23*DADOS_BASICOS!$F$36)</f>
        <v>158.60000000000002</v>
      </c>
      <c r="F56" s="225">
        <f>DADOS_BASICOS!$E$36-(PONTA_GROSSA!F$23*DADOS_BASICOS!$F$36)</f>
        <v>158.60000000000002</v>
      </c>
    </row>
    <row r="57" spans="1:6">
      <c r="A57" s="15" t="s">
        <v>122</v>
      </c>
      <c r="B57" s="390" t="s">
        <v>159</v>
      </c>
      <c r="C57" s="391">
        <f>DADOS_BASICOS!C22</f>
        <v>805</v>
      </c>
      <c r="D57" s="48"/>
      <c r="E57" s="32">
        <f>DADOS_BASICOS!C22-DADOS_BASICOS!C23</f>
        <v>644</v>
      </c>
      <c r="F57" s="32">
        <f>DADOS_BASICOS!C22-DADOS_BASICOS!C23</f>
        <v>644</v>
      </c>
    </row>
    <row r="58" spans="1:6">
      <c r="A58" s="15" t="s">
        <v>124</v>
      </c>
      <c r="B58" s="390" t="s">
        <v>94</v>
      </c>
      <c r="C58" s="391">
        <f>DADOS_BASICOS!C26</f>
        <v>28</v>
      </c>
      <c r="D58" s="48"/>
      <c r="E58" s="32">
        <f>$C$58</f>
        <v>28</v>
      </c>
      <c r="F58" s="32">
        <f>$C$58</f>
        <v>28</v>
      </c>
    </row>
    <row r="59" spans="1:6">
      <c r="A59" s="15" t="s">
        <v>126</v>
      </c>
      <c r="B59" s="390" t="s">
        <v>92</v>
      </c>
      <c r="C59" s="391">
        <f>DADOS_BASICOS!C25</f>
        <v>87.5</v>
      </c>
      <c r="D59" s="48"/>
      <c r="E59" s="32">
        <f>$C$59</f>
        <v>87.5</v>
      </c>
      <c r="F59" s="32">
        <f>$C$59</f>
        <v>87.5</v>
      </c>
    </row>
    <row r="60" spans="1:6">
      <c r="A60" s="15" t="s">
        <v>128</v>
      </c>
      <c r="B60" s="390" t="s">
        <v>160</v>
      </c>
      <c r="C60" s="391"/>
      <c r="D60" s="39"/>
      <c r="E60" s="32">
        <v>0</v>
      </c>
      <c r="F60" s="32">
        <v>0</v>
      </c>
    </row>
    <row r="61" spans="1:6">
      <c r="A61" s="15" t="s">
        <v>130</v>
      </c>
      <c r="B61" s="390" t="s">
        <v>161</v>
      </c>
      <c r="C61" s="391"/>
      <c r="D61" s="42"/>
      <c r="E61" s="33">
        <v>0</v>
      </c>
      <c r="F61" s="33">
        <v>0</v>
      </c>
    </row>
    <row r="62" spans="1:6">
      <c r="A62" s="379" t="s">
        <v>136</v>
      </c>
      <c r="B62" s="379"/>
      <c r="C62" s="379"/>
      <c r="D62" s="37"/>
      <c r="E62" s="126">
        <f>SUM(E56:E61)</f>
        <v>918.1</v>
      </c>
      <c r="F62" s="126">
        <f>SUM(F56:F61)</f>
        <v>918.1</v>
      </c>
    </row>
    <row r="63" spans="1:6">
      <c r="A63" s="4"/>
      <c r="B63" s="4"/>
      <c r="C63" s="4"/>
      <c r="D63" s="4"/>
      <c r="E63" s="4"/>
      <c r="F63" s="4"/>
    </row>
    <row r="64" spans="1:6" ht="28.5" customHeight="1">
      <c r="A64" s="343" t="s">
        <v>162</v>
      </c>
      <c r="B64" s="343"/>
      <c r="C64" s="343"/>
      <c r="D64" s="343"/>
      <c r="E64" s="343"/>
      <c r="F64" s="343"/>
    </row>
    <row r="65" spans="1:6" ht="15" customHeight="1">
      <c r="A65" s="4"/>
      <c r="B65" s="4"/>
      <c r="C65" s="4"/>
      <c r="D65" s="4"/>
      <c r="E65" s="4"/>
      <c r="F65" s="4"/>
    </row>
    <row r="66" spans="1:6">
      <c r="A66" s="41">
        <v>2</v>
      </c>
      <c r="B66" s="380" t="s">
        <v>163</v>
      </c>
      <c r="C66" s="380"/>
      <c r="D66" s="83"/>
      <c r="E66" s="41" t="s">
        <v>120</v>
      </c>
      <c r="F66" s="41" t="s">
        <v>120</v>
      </c>
    </row>
    <row r="67" spans="1:6">
      <c r="A67" s="43" t="s">
        <v>138</v>
      </c>
      <c r="B67" s="383" t="s">
        <v>139</v>
      </c>
      <c r="C67" s="383"/>
      <c r="D67" s="35"/>
      <c r="E67" s="84">
        <f>E39</f>
        <v>468.57719999999995</v>
      </c>
      <c r="F67" s="84">
        <f>F39</f>
        <v>493.50586666666663</v>
      </c>
    </row>
    <row r="68" spans="1:6">
      <c r="A68" s="43" t="s">
        <v>145</v>
      </c>
      <c r="B68" s="383" t="s">
        <v>146</v>
      </c>
      <c r="C68" s="383"/>
      <c r="D68" s="35"/>
      <c r="E68" s="85">
        <f>E52</f>
        <v>1016.3340095999997</v>
      </c>
      <c r="F68" s="85">
        <f>F52</f>
        <v>1070.4037589333329</v>
      </c>
    </row>
    <row r="69" spans="1:6">
      <c r="A69" s="43" t="s">
        <v>156</v>
      </c>
      <c r="B69" s="383" t="s">
        <v>157</v>
      </c>
      <c r="C69" s="383"/>
      <c r="D69" s="35"/>
      <c r="E69" s="85">
        <f>E62</f>
        <v>918.1</v>
      </c>
      <c r="F69" s="85">
        <f>F62</f>
        <v>918.1</v>
      </c>
    </row>
    <row r="70" spans="1:6" ht="15.75" customHeight="1">
      <c r="A70" s="379" t="s">
        <v>136</v>
      </c>
      <c r="B70" s="379"/>
      <c r="C70" s="379"/>
      <c r="D70" s="35"/>
      <c r="E70" s="86">
        <f>SUM(E67:E69)</f>
        <v>2403.0112095999998</v>
      </c>
      <c r="F70" s="86">
        <f>SUM(F67:F69)</f>
        <v>2482.0096255999997</v>
      </c>
    </row>
    <row r="71" spans="1:6" ht="11.25" customHeight="1">
      <c r="A71" s="4"/>
      <c r="B71" s="4"/>
      <c r="C71" s="4"/>
      <c r="D71" s="4"/>
      <c r="E71" s="4"/>
      <c r="F71" s="4"/>
    </row>
    <row r="72" spans="1:6" ht="9.75" customHeight="1">
      <c r="A72" s="4"/>
      <c r="B72" s="4"/>
      <c r="C72" s="4"/>
      <c r="D72" s="4"/>
      <c r="E72" s="4"/>
      <c r="F72" s="4"/>
    </row>
    <row r="73" spans="1:6" ht="18.75" customHeight="1">
      <c r="A73" s="351" t="s">
        <v>45</v>
      </c>
      <c r="B73" s="351"/>
      <c r="C73" s="351"/>
      <c r="D73" s="351"/>
      <c r="E73" s="351"/>
      <c r="F73" s="351"/>
    </row>
    <row r="74" spans="1:6">
      <c r="A74" s="381" t="s">
        <v>164</v>
      </c>
      <c r="B74" s="381"/>
      <c r="C74" s="381"/>
      <c r="D74" s="16"/>
      <c r="E74" s="16">
        <f>E31+E70-SUM(E44:E50)</f>
        <v>3900.8193760000004</v>
      </c>
      <c r="F74" s="16">
        <f>F31+F70-SUM(F44:F50)</f>
        <v>4059.5023359999996</v>
      </c>
    </row>
    <row r="75" spans="1:6">
      <c r="A75" s="375" t="s">
        <v>165</v>
      </c>
      <c r="B75" s="375"/>
      <c r="C75" s="375"/>
      <c r="D75" s="16"/>
      <c r="E75" s="16">
        <f>E31+E70</f>
        <v>4696.2112096000001</v>
      </c>
      <c r="F75" s="16">
        <f>F31+F70</f>
        <v>4897.2096255999995</v>
      </c>
    </row>
    <row r="76" spans="1:6">
      <c r="A76" s="41">
        <v>3</v>
      </c>
      <c r="B76" s="41" t="s">
        <v>166</v>
      </c>
      <c r="C76" s="41" t="s">
        <v>167</v>
      </c>
      <c r="D76" s="41"/>
      <c r="E76" s="41" t="s">
        <v>120</v>
      </c>
      <c r="F76" s="41" t="s">
        <v>120</v>
      </c>
    </row>
    <row r="77" spans="1:6">
      <c r="A77" s="43" t="s">
        <v>121</v>
      </c>
      <c r="B77" s="58" t="s">
        <v>168</v>
      </c>
      <c r="C77" s="80">
        <f>(1/12)*5%</f>
        <v>4.1666666666666666E-3</v>
      </c>
      <c r="D77" s="80"/>
      <c r="E77" s="33">
        <f>E74*$C$77</f>
        <v>16.253414066666668</v>
      </c>
      <c r="F77" s="33">
        <f>F74*$C$77</f>
        <v>16.914593066666665</v>
      </c>
    </row>
    <row r="78" spans="1:6">
      <c r="A78" s="43" t="s">
        <v>122</v>
      </c>
      <c r="B78" s="17" t="s">
        <v>169</v>
      </c>
      <c r="C78" s="34">
        <v>0.08</v>
      </c>
      <c r="D78" s="34"/>
      <c r="E78" s="9">
        <f>E77*$C$78</f>
        <v>1.3002731253333335</v>
      </c>
      <c r="F78" s="9">
        <f>F77*$C$78</f>
        <v>1.3531674453333333</v>
      </c>
    </row>
    <row r="79" spans="1:6">
      <c r="A79" s="43" t="s">
        <v>124</v>
      </c>
      <c r="B79" s="17" t="s">
        <v>170</v>
      </c>
      <c r="C79" s="18">
        <v>0.02</v>
      </c>
      <c r="D79" s="18"/>
      <c r="E79" s="9">
        <f>$C$79*E77</f>
        <v>0.32506828133333338</v>
      </c>
      <c r="F79" s="9">
        <f>$C$79*F77</f>
        <v>0.33829186133333333</v>
      </c>
    </row>
    <row r="80" spans="1:6">
      <c r="A80" s="43" t="s">
        <v>126</v>
      </c>
      <c r="B80" s="17" t="s">
        <v>171</v>
      </c>
      <c r="C80" s="80">
        <f>7/30/12</f>
        <v>1.9444444444444445E-2</v>
      </c>
      <c r="D80" s="80"/>
      <c r="E80" s="9">
        <f>E75*$C$80</f>
        <v>91.315217964444443</v>
      </c>
      <c r="F80" s="9">
        <f>F75*$C$80</f>
        <v>95.22352049777777</v>
      </c>
    </row>
    <row r="81" spans="1:6">
      <c r="A81" s="43" t="s">
        <v>128</v>
      </c>
      <c r="B81" s="17" t="s">
        <v>172</v>
      </c>
      <c r="C81" s="34">
        <f>$C$52</f>
        <v>0.36800000000000005</v>
      </c>
      <c r="D81" s="34"/>
      <c r="E81" s="9">
        <f>E80*$C$81</f>
        <v>33.604000210915558</v>
      </c>
      <c r="F81" s="9">
        <f>F80*$C$81</f>
        <v>35.042255543182222</v>
      </c>
    </row>
    <row r="82" spans="1:6">
      <c r="A82" s="43" t="s">
        <v>130</v>
      </c>
      <c r="B82" s="17" t="s">
        <v>173</v>
      </c>
      <c r="C82" s="18">
        <v>0.02</v>
      </c>
      <c r="D82" s="18"/>
      <c r="E82" s="9">
        <f>E80*$C$82</f>
        <v>1.8263043592888888</v>
      </c>
      <c r="F82" s="9">
        <f>F80*$C$82</f>
        <v>1.9044704099555554</v>
      </c>
    </row>
    <row r="83" spans="1:6">
      <c r="A83" s="379" t="s">
        <v>136</v>
      </c>
      <c r="B83" s="379"/>
      <c r="C83" s="18"/>
      <c r="D83" s="18"/>
      <c r="E83" s="29">
        <f>SUM(E77:E82)</f>
        <v>144.62427800798221</v>
      </c>
      <c r="F83" s="29">
        <f>SUM(F77:F82)</f>
        <v>150.77629882424887</v>
      </c>
    </row>
    <row r="84" spans="1:6">
      <c r="A84" s="4"/>
      <c r="B84" s="4"/>
      <c r="C84" s="4"/>
      <c r="D84" s="4"/>
      <c r="E84" s="4"/>
      <c r="F84" s="4"/>
    </row>
    <row r="85" spans="1:6">
      <c r="A85" s="351" t="s">
        <v>46</v>
      </c>
      <c r="B85" s="351"/>
      <c r="C85" s="351"/>
      <c r="D85" s="351"/>
      <c r="E85" s="351"/>
      <c r="F85" s="351"/>
    </row>
    <row r="86" spans="1:6">
      <c r="A86" s="343" t="s">
        <v>47</v>
      </c>
      <c r="B86" s="343"/>
      <c r="C86" s="343"/>
      <c r="D86" s="343"/>
      <c r="E86" s="343"/>
      <c r="F86" s="343"/>
    </row>
    <row r="87" spans="1:6">
      <c r="A87" s="3"/>
      <c r="B87" s="3"/>
      <c r="C87" s="3"/>
      <c r="D87" s="3"/>
      <c r="E87" s="3"/>
      <c r="F87" s="3"/>
    </row>
    <row r="88" spans="1:6">
      <c r="A88" s="375" t="s">
        <v>174</v>
      </c>
      <c r="B88" s="375"/>
      <c r="C88" s="375"/>
      <c r="D88" s="10"/>
      <c r="E88" s="10">
        <f>E31+E70+E83</f>
        <v>4840.835487607982</v>
      </c>
      <c r="F88" s="10">
        <f t="shared" ref="F88" si="1">F31+F70+F83</f>
        <v>5047.985924424248</v>
      </c>
    </row>
    <row r="89" spans="1:6" ht="12.75" customHeight="1">
      <c r="A89" s="41" t="s">
        <v>175</v>
      </c>
      <c r="B89" s="41" t="s">
        <v>176</v>
      </c>
      <c r="C89" s="41" t="s">
        <v>177</v>
      </c>
      <c r="D89" s="41"/>
      <c r="E89" s="41" t="s">
        <v>120</v>
      </c>
      <c r="F89" s="41" t="s">
        <v>120</v>
      </c>
    </row>
    <row r="90" spans="1:6" ht="31.5" customHeight="1">
      <c r="A90" s="25" t="s">
        <v>121</v>
      </c>
      <c r="B90" s="59" t="s">
        <v>178</v>
      </c>
      <c r="C90" s="81">
        <f>(1+1/3)/12/12</f>
        <v>9.2592592592592587E-3</v>
      </c>
      <c r="D90" s="81"/>
      <c r="E90" s="60">
        <f>E88*$C$90</f>
        <v>44.822550811185017</v>
      </c>
      <c r="F90" s="60">
        <f t="shared" ref="F90" si="2">F88*$C$90</f>
        <v>46.740610411335624</v>
      </c>
    </row>
    <row r="91" spans="1:6">
      <c r="A91" s="25" t="s">
        <v>122</v>
      </c>
      <c r="B91" s="59" t="s">
        <v>179</v>
      </c>
      <c r="C91" s="82">
        <f>((2/30/12))</f>
        <v>5.5555555555555558E-3</v>
      </c>
      <c r="D91" s="82"/>
      <c r="E91" s="60">
        <f>E88*$C$91</f>
        <v>26.893530486711011</v>
      </c>
      <c r="F91" s="60">
        <f t="shared" ref="F91" si="3">F88*$C$91</f>
        <v>28.044366246801378</v>
      </c>
    </row>
    <row r="92" spans="1:6">
      <c r="A92" s="25" t="s">
        <v>124</v>
      </c>
      <c r="B92" s="59" t="s">
        <v>180</v>
      </c>
      <c r="C92" s="47">
        <f>((15/30/12)*0.0078)</f>
        <v>3.2499999999999999E-4</v>
      </c>
      <c r="D92" s="47"/>
      <c r="E92" s="60">
        <f>E88*$C$92</f>
        <v>1.5732715334725942</v>
      </c>
      <c r="F92" s="60">
        <f t="shared" ref="F92" si="4">F88*$C$92</f>
        <v>1.6405954254378805</v>
      </c>
    </row>
    <row r="93" spans="1:6" ht="14.4" customHeight="1">
      <c r="A93" s="25" t="s">
        <v>126</v>
      </c>
      <c r="B93" s="59" t="s">
        <v>181</v>
      </c>
      <c r="C93" s="82">
        <f>(5/30/12)*0.02</f>
        <v>2.7777777777777778E-4</v>
      </c>
      <c r="D93" s="82"/>
      <c r="E93" s="60">
        <f>E88*$C$93</f>
        <v>1.3446765243355505</v>
      </c>
      <c r="F93" s="60">
        <f t="shared" ref="F93" si="5">F88*$C$93</f>
        <v>1.4022183123400689</v>
      </c>
    </row>
    <row r="94" spans="1:6">
      <c r="A94" s="25" t="s">
        <v>128</v>
      </c>
      <c r="B94" s="59" t="s">
        <v>182</v>
      </c>
      <c r="C94" s="82">
        <f>(4/12)/12*0.02</f>
        <v>5.5555555555555556E-4</v>
      </c>
      <c r="D94" s="82"/>
      <c r="E94" s="60">
        <f>E88*$C$94</f>
        <v>2.689353048671101</v>
      </c>
      <c r="F94" s="60">
        <f t="shared" ref="F94" si="6">F88*$C$94</f>
        <v>2.8044366246801378</v>
      </c>
    </row>
    <row r="95" spans="1:6">
      <c r="A95" s="25" t="s">
        <v>130</v>
      </c>
      <c r="B95" s="59" t="s">
        <v>183</v>
      </c>
      <c r="C95" s="47">
        <f>(5/30)/12</f>
        <v>1.3888888888888888E-2</v>
      </c>
      <c r="D95" s="47"/>
      <c r="E95" s="60">
        <f>E88*$C$95</f>
        <v>67.23382621677753</v>
      </c>
      <c r="F95" s="60">
        <f t="shared" ref="F95" si="7">F88*$C$95</f>
        <v>70.110915617003442</v>
      </c>
    </row>
    <row r="96" spans="1:6">
      <c r="A96" s="25" t="s">
        <v>132</v>
      </c>
      <c r="B96" s="59" t="s">
        <v>184</v>
      </c>
      <c r="C96" s="47">
        <v>0</v>
      </c>
      <c r="D96" s="47"/>
      <c r="E96" s="60">
        <f>E88*$C$96</f>
        <v>0</v>
      </c>
      <c r="F96" s="60">
        <f t="shared" ref="F96" si="8">F88*$C$96</f>
        <v>0</v>
      </c>
    </row>
    <row r="97" spans="1:6">
      <c r="A97" s="376" t="s">
        <v>185</v>
      </c>
      <c r="B97" s="377"/>
      <c r="C97" s="378"/>
      <c r="D97" s="71"/>
      <c r="E97" s="29">
        <f>SUM(E90:E96)</f>
        <v>144.5572086211528</v>
      </c>
      <c r="F97" s="29">
        <f>SUM(F90:F96)</f>
        <v>150.74314263759851</v>
      </c>
    </row>
    <row r="98" spans="1:6">
      <c r="A98" s="31"/>
      <c r="B98" s="31"/>
      <c r="C98" s="31"/>
      <c r="D98" s="31"/>
      <c r="E98" s="31"/>
      <c r="F98" s="31"/>
    </row>
    <row r="99" spans="1:6">
      <c r="A99" s="370" t="s">
        <v>48</v>
      </c>
      <c r="B99" s="370"/>
      <c r="C99" s="370"/>
      <c r="D99" s="370"/>
      <c r="E99" s="370"/>
      <c r="F99" s="74"/>
    </row>
    <row r="100" spans="1:6">
      <c r="A100" s="399" t="s">
        <v>186</v>
      </c>
      <c r="B100" s="399"/>
      <c r="C100" s="399"/>
      <c r="D100" s="49"/>
      <c r="E100" s="98">
        <f>E31+E70+E83</f>
        <v>4840.835487607982</v>
      </c>
      <c r="F100" s="98">
        <f>F31+F70+F83</f>
        <v>5047.985924424248</v>
      </c>
    </row>
    <row r="101" spans="1:6" ht="68.25" customHeight="1">
      <c r="A101" s="20" t="s">
        <v>187</v>
      </c>
      <c r="B101" s="387" t="s">
        <v>188</v>
      </c>
      <c r="C101" s="387"/>
      <c r="D101" s="87"/>
      <c r="E101" s="73" t="s">
        <v>120</v>
      </c>
      <c r="F101" s="73" t="s">
        <v>120</v>
      </c>
    </row>
    <row r="102" spans="1:6">
      <c r="A102" s="21" t="s">
        <v>121</v>
      </c>
      <c r="B102" s="398" t="s">
        <v>189</v>
      </c>
      <c r="C102" s="398"/>
      <c r="D102" s="35"/>
      <c r="E102" s="85"/>
      <c r="F102" s="85"/>
    </row>
    <row r="103" spans="1:6" ht="15.75" customHeight="1">
      <c r="A103" s="384" t="s">
        <v>136</v>
      </c>
      <c r="B103" s="384"/>
      <c r="C103" s="384"/>
      <c r="D103" s="35"/>
      <c r="E103" s="86">
        <f>E102</f>
        <v>0</v>
      </c>
      <c r="F103" s="86">
        <f>F102</f>
        <v>0</v>
      </c>
    </row>
    <row r="104" spans="1:6">
      <c r="A104" s="26"/>
      <c r="B104" s="4"/>
      <c r="C104" s="4"/>
      <c r="D104" s="4"/>
      <c r="E104" s="4"/>
      <c r="F104" s="4"/>
    </row>
    <row r="105" spans="1:6">
      <c r="A105" s="397" t="s">
        <v>190</v>
      </c>
      <c r="B105" s="397"/>
      <c r="C105" s="397"/>
      <c r="D105" s="397"/>
      <c r="E105" s="397"/>
      <c r="F105" s="397"/>
    </row>
    <row r="106" spans="1:6">
      <c r="A106" s="41">
        <v>4</v>
      </c>
      <c r="B106" s="387" t="s">
        <v>191</v>
      </c>
      <c r="C106" s="387"/>
      <c r="D106" s="87"/>
      <c r="E106" s="41" t="s">
        <v>120</v>
      </c>
      <c r="F106" s="41" t="s">
        <v>120</v>
      </c>
    </row>
    <row r="107" spans="1:6">
      <c r="A107" s="43" t="s">
        <v>175</v>
      </c>
      <c r="B107" s="386" t="s">
        <v>192</v>
      </c>
      <c r="C107" s="386"/>
      <c r="D107" s="35"/>
      <c r="E107" s="85">
        <f>E97</f>
        <v>144.5572086211528</v>
      </c>
      <c r="F107" s="85">
        <f t="shared" ref="F107" si="9">F97</f>
        <v>150.74314263759851</v>
      </c>
    </row>
    <row r="108" spans="1:6">
      <c r="A108" s="43" t="s">
        <v>187</v>
      </c>
      <c r="B108" s="386" t="s">
        <v>193</v>
      </c>
      <c r="C108" s="386"/>
      <c r="D108" s="35"/>
      <c r="E108" s="85">
        <f>E103</f>
        <v>0</v>
      </c>
      <c r="F108" s="85">
        <f t="shared" ref="F108" si="10">F103</f>
        <v>0</v>
      </c>
    </row>
    <row r="109" spans="1:6">
      <c r="A109" s="384" t="s">
        <v>136</v>
      </c>
      <c r="B109" s="384"/>
      <c r="C109" s="384"/>
      <c r="D109" s="35"/>
      <c r="E109" s="86">
        <f>SUM(E107:E108)</f>
        <v>144.5572086211528</v>
      </c>
      <c r="F109" s="86">
        <f t="shared" ref="F109" si="11">SUM(F107:F108)</f>
        <v>150.74314263759851</v>
      </c>
    </row>
    <row r="110" spans="1:6">
      <c r="A110" s="4"/>
      <c r="B110" s="4"/>
      <c r="C110" s="4"/>
      <c r="D110" s="4"/>
      <c r="E110" s="4"/>
      <c r="F110" s="4"/>
    </row>
    <row r="111" spans="1:6">
      <c r="A111" s="351" t="s">
        <v>50</v>
      </c>
      <c r="B111" s="351"/>
      <c r="C111" s="351"/>
      <c r="D111" s="351"/>
      <c r="E111" s="351"/>
      <c r="F111" s="351"/>
    </row>
    <row r="112" spans="1:6">
      <c r="A112" s="41">
        <v>5</v>
      </c>
      <c r="B112" s="387" t="s">
        <v>194</v>
      </c>
      <c r="C112" s="387"/>
      <c r="D112" s="87"/>
      <c r="E112" s="41" t="s">
        <v>120</v>
      </c>
      <c r="F112" s="41" t="s">
        <v>120</v>
      </c>
    </row>
    <row r="113" spans="1:6" s="234" customFormat="1">
      <c r="A113" s="15" t="s">
        <v>121</v>
      </c>
      <c r="B113" s="386" t="s">
        <v>195</v>
      </c>
      <c r="C113" s="386"/>
      <c r="D113" s="228"/>
      <c r="E113" s="229">
        <f>UNIFORMES!$F$18</f>
        <v>71.998888888888885</v>
      </c>
      <c r="F113" s="229">
        <f>UNIFORMES!F47</f>
        <v>80.668888888888887</v>
      </c>
    </row>
    <row r="114" spans="1:6" s="234" customFormat="1">
      <c r="A114" s="15" t="s">
        <v>122</v>
      </c>
      <c r="B114" s="386" t="s">
        <v>41</v>
      </c>
      <c r="C114" s="386"/>
      <c r="D114" s="228"/>
      <c r="E114" s="229">
        <f>EQUIPAMENTOS!$W$24</f>
        <v>59.387515208333333</v>
      </c>
      <c r="F114" s="229">
        <f>EQUIPAMENTOS!$W$24</f>
        <v>59.387515208333333</v>
      </c>
    </row>
    <row r="115" spans="1:6" s="234" customFormat="1">
      <c r="A115" s="15" t="s">
        <v>124</v>
      </c>
      <c r="B115" s="386" t="s">
        <v>196</v>
      </c>
      <c r="C115" s="386"/>
      <c r="D115" s="228"/>
      <c r="E115" s="229">
        <f>UTENSÍLIOS!$V$76</f>
        <v>305.55416666666667</v>
      </c>
      <c r="F115" s="229">
        <f>UTENSÍLIOS!$V$76</f>
        <v>305.55416666666667</v>
      </c>
    </row>
    <row r="116" spans="1:6" s="234" customFormat="1">
      <c r="A116" s="15" t="s">
        <v>126</v>
      </c>
      <c r="B116" s="386" t="s">
        <v>197</v>
      </c>
      <c r="C116" s="386"/>
      <c r="D116" s="228"/>
      <c r="E116" s="229">
        <f>INSUMOS!$V$52</f>
        <v>501.08000000000004</v>
      </c>
      <c r="F116" s="229">
        <f>INSUMOS!$V$52</f>
        <v>501.08000000000004</v>
      </c>
    </row>
    <row r="117" spans="1:6" s="234" customFormat="1">
      <c r="A117" s="15" t="s">
        <v>128</v>
      </c>
      <c r="B117" s="386" t="s">
        <v>198</v>
      </c>
      <c r="C117" s="386"/>
      <c r="D117" s="228"/>
      <c r="E117" s="229"/>
      <c r="F117" s="229"/>
    </row>
    <row r="118" spans="1:6" s="234" customFormat="1">
      <c r="A118" s="384" t="s">
        <v>155</v>
      </c>
      <c r="B118" s="384"/>
      <c r="C118" s="384"/>
      <c r="D118" s="228"/>
      <c r="E118" s="230">
        <f>SUM(E113:E117)</f>
        <v>938.02057076388894</v>
      </c>
      <c r="F118" s="230">
        <f>SUM(F113:F117)</f>
        <v>946.6905707638889</v>
      </c>
    </row>
    <row r="119" spans="1:6">
      <c r="A119" s="4"/>
      <c r="B119" s="4"/>
      <c r="C119" s="4"/>
      <c r="D119" s="4"/>
      <c r="E119" s="4"/>
      <c r="F119" s="4"/>
    </row>
    <row r="120" spans="1:6">
      <c r="A120" s="351" t="s">
        <v>51</v>
      </c>
      <c r="B120" s="351"/>
      <c r="C120" s="351"/>
      <c r="D120" s="351"/>
      <c r="E120" s="351"/>
      <c r="F120" s="351"/>
    </row>
    <row r="121" spans="1:6">
      <c r="A121" s="3"/>
      <c r="B121" s="381" t="s">
        <v>199</v>
      </c>
      <c r="C121" s="381"/>
      <c r="D121" s="72"/>
      <c r="E121" s="10">
        <f>E31+E70+E83+E109+E118</f>
        <v>5923.4132669930241</v>
      </c>
      <c r="F121" s="10">
        <f>F31+F70+F83+F109+F118</f>
        <v>6145.4196378257357</v>
      </c>
    </row>
    <row r="122" spans="1:6">
      <c r="A122" s="3"/>
      <c r="B122" s="381" t="s">
        <v>200</v>
      </c>
      <c r="C122" s="381"/>
      <c r="D122" s="72"/>
      <c r="E122" s="10">
        <f>E121+E125</f>
        <v>6089.268838468829</v>
      </c>
      <c r="F122" s="10">
        <f t="shared" ref="F122" si="12">F121+F125</f>
        <v>6317.4913876848559</v>
      </c>
    </row>
    <row r="123" spans="1:6">
      <c r="A123" s="3"/>
      <c r="B123" s="381" t="s">
        <v>201</v>
      </c>
      <c r="C123" s="381"/>
      <c r="D123" s="72"/>
      <c r="E123" s="10">
        <f>(E122+E126)/(1-E127)</f>
        <v>7160.7025805310368</v>
      </c>
      <c r="F123" s="10">
        <f>(F122+F126)/(1-F127)</f>
        <v>7429.0818951019974</v>
      </c>
    </row>
    <row r="124" spans="1:6">
      <c r="A124" s="41">
        <v>6</v>
      </c>
      <c r="B124" s="41" t="s">
        <v>202</v>
      </c>
      <c r="C124" s="41" t="s">
        <v>140</v>
      </c>
      <c r="D124" s="41"/>
      <c r="E124" s="41" t="s">
        <v>120</v>
      </c>
      <c r="F124" s="41" t="s">
        <v>120</v>
      </c>
    </row>
    <row r="125" spans="1:6">
      <c r="A125" s="43" t="s">
        <v>121</v>
      </c>
      <c r="B125" s="6" t="s">
        <v>203</v>
      </c>
      <c r="C125" s="47" t="s">
        <v>52</v>
      </c>
      <c r="D125" s="47"/>
      <c r="E125" s="22">
        <f>E121*DADOS_BASICOS!B47</f>
        <v>165.85557147580468</v>
      </c>
      <c r="F125" s="22">
        <f>F121*DADOS_BASICOS!D47</f>
        <v>172.07174985912062</v>
      </c>
    </row>
    <row r="126" spans="1:6">
      <c r="A126" s="43" t="s">
        <v>122</v>
      </c>
      <c r="B126" s="6" t="s">
        <v>204</v>
      </c>
      <c r="C126" s="47" t="s">
        <v>52</v>
      </c>
      <c r="D126" s="47"/>
      <c r="E126" s="22">
        <f>E122*DADOS_BASICOS!B57</f>
        <v>194.24767594715564</v>
      </c>
      <c r="F126" s="22">
        <f>F122*DADOS_BASICOS!D57</f>
        <v>201.5279752671469</v>
      </c>
    </row>
    <row r="127" spans="1:6">
      <c r="A127" s="43" t="s">
        <v>124</v>
      </c>
      <c r="B127" s="5" t="s">
        <v>205</v>
      </c>
      <c r="C127" s="18"/>
      <c r="D127" s="18"/>
      <c r="E127" s="224">
        <f>SUM($C$128:$C$130,$C$132,DADOS_BASICOS!B67)</f>
        <v>0.1225</v>
      </c>
      <c r="F127" s="224">
        <f>SUM($C$128:$C$130,$C$132,DADOS_BASICOS!D67)</f>
        <v>0.1225</v>
      </c>
    </row>
    <row r="128" spans="1:6" ht="31.5" customHeight="1">
      <c r="A128" s="43"/>
      <c r="B128" s="5" t="s">
        <v>206</v>
      </c>
      <c r="C128" s="18">
        <v>7.5999999999999998E-2</v>
      </c>
      <c r="D128" s="18"/>
      <c r="E128" s="22">
        <f>E123*$C$128</f>
        <v>544.21339612035877</v>
      </c>
      <c r="F128" s="22">
        <f>F123*$C$128</f>
        <v>564.61022402775177</v>
      </c>
    </row>
    <row r="129" spans="1:6">
      <c r="A129" s="43"/>
      <c r="B129" s="5" t="s">
        <v>207</v>
      </c>
      <c r="C129" s="18">
        <v>1.6500000000000001E-2</v>
      </c>
      <c r="D129" s="18"/>
      <c r="E129" s="22">
        <f>E123*$C$129</f>
        <v>118.15159257876211</v>
      </c>
      <c r="F129" s="22">
        <f>F123*$C$129</f>
        <v>122.57985126918297</v>
      </c>
    </row>
    <row r="130" spans="1:6">
      <c r="A130" s="43"/>
      <c r="B130" s="5" t="s">
        <v>208</v>
      </c>
      <c r="C130" s="18"/>
      <c r="D130" s="18"/>
      <c r="E130" s="22">
        <f>E123*$C$130</f>
        <v>0</v>
      </c>
      <c r="F130" s="22">
        <f>F123*$C$130</f>
        <v>0</v>
      </c>
    </row>
    <row r="131" spans="1:6">
      <c r="A131" s="43"/>
      <c r="B131" s="5" t="s">
        <v>209</v>
      </c>
      <c r="C131" s="34" t="s">
        <v>52</v>
      </c>
      <c r="D131" s="34"/>
      <c r="E131" s="22">
        <f>E123*DADOS_BASICOS!B67</f>
        <v>214.82107741593109</v>
      </c>
      <c r="F131" s="22">
        <f>F123*DADOS_BASICOS!D67</f>
        <v>222.8724568530599</v>
      </c>
    </row>
    <row r="132" spans="1:6" ht="31.2">
      <c r="A132" s="43"/>
      <c r="B132" s="6" t="s">
        <v>210</v>
      </c>
      <c r="C132" s="34"/>
      <c r="D132" s="34"/>
      <c r="E132" s="22"/>
      <c r="F132" s="22"/>
    </row>
    <row r="133" spans="1:6">
      <c r="A133" s="319" t="s">
        <v>143</v>
      </c>
      <c r="B133" s="319"/>
      <c r="C133" s="18"/>
      <c r="D133" s="18"/>
      <c r="E133" s="30">
        <f>SUM(E125:E126,E128:E132)</f>
        <v>1237.2893135380123</v>
      </c>
      <c r="F133" s="30">
        <f>SUM(F125:F126,F128:F132)</f>
        <v>1283.6622572762622</v>
      </c>
    </row>
    <row r="134" spans="1:6" ht="14.4" customHeight="1">
      <c r="A134" s="4"/>
      <c r="B134" s="4"/>
      <c r="C134" s="4"/>
      <c r="D134" s="4"/>
      <c r="E134" s="4"/>
      <c r="F134" s="4"/>
    </row>
    <row r="135" spans="1:6">
      <c r="A135" s="351" t="s">
        <v>211</v>
      </c>
      <c r="B135" s="351"/>
      <c r="C135" s="351"/>
      <c r="D135" s="351"/>
      <c r="E135" s="351"/>
      <c r="F135" s="351"/>
    </row>
    <row r="136" spans="1:6">
      <c r="A136" s="4"/>
      <c r="B136" s="4"/>
      <c r="C136" s="4"/>
      <c r="D136" s="4"/>
      <c r="E136" s="4"/>
      <c r="F136" s="4"/>
    </row>
    <row r="137" spans="1:6">
      <c r="A137" s="41"/>
      <c r="B137" s="380" t="s">
        <v>212</v>
      </c>
      <c r="C137" s="380"/>
      <c r="D137" s="83"/>
      <c r="E137" s="41" t="s">
        <v>120</v>
      </c>
      <c r="F137" s="41" t="s">
        <v>120</v>
      </c>
    </row>
    <row r="138" spans="1:6">
      <c r="A138" s="37" t="s">
        <v>121</v>
      </c>
      <c r="B138" s="383" t="s">
        <v>118</v>
      </c>
      <c r="C138" s="383"/>
      <c r="D138" s="85"/>
      <c r="E138" s="85">
        <f>E31</f>
        <v>2293.1999999999998</v>
      </c>
      <c r="F138" s="85">
        <f>F31</f>
        <v>2415.1999999999998</v>
      </c>
    </row>
    <row r="139" spans="1:6" ht="19.5" customHeight="1">
      <c r="A139" s="37" t="s">
        <v>122</v>
      </c>
      <c r="B139" s="383" t="s">
        <v>137</v>
      </c>
      <c r="C139" s="383"/>
      <c r="D139" s="35"/>
      <c r="E139" s="85">
        <f>E70</f>
        <v>2403.0112095999998</v>
      </c>
      <c r="F139" s="85">
        <f>F70</f>
        <v>2482.0096255999997</v>
      </c>
    </row>
    <row r="140" spans="1:6" s="90" customFormat="1">
      <c r="A140" s="231" t="s">
        <v>124</v>
      </c>
      <c r="B140" s="220" t="s">
        <v>45</v>
      </c>
      <c r="C140" s="96"/>
      <c r="D140" s="96"/>
      <c r="E140" s="232">
        <f>E83</f>
        <v>144.62427800798221</v>
      </c>
      <c r="F140" s="232">
        <f>F83</f>
        <v>150.77629882424887</v>
      </c>
    </row>
    <row r="141" spans="1:6" s="90" customFormat="1">
      <c r="A141" s="231" t="s">
        <v>126</v>
      </c>
      <c r="B141" s="220" t="s">
        <v>46</v>
      </c>
      <c r="C141" s="96"/>
      <c r="D141" s="96"/>
      <c r="E141" s="232">
        <f>E109</f>
        <v>144.5572086211528</v>
      </c>
      <c r="F141" s="232">
        <f>F109</f>
        <v>150.74314263759851</v>
      </c>
    </row>
    <row r="142" spans="1:6" s="90" customFormat="1">
      <c r="A142" s="231" t="s">
        <v>128</v>
      </c>
      <c r="B142" s="220" t="s">
        <v>50</v>
      </c>
      <c r="C142" s="96"/>
      <c r="D142" s="96"/>
      <c r="E142" s="232">
        <f>E118</f>
        <v>938.02057076388894</v>
      </c>
      <c r="F142" s="232">
        <f>F118</f>
        <v>946.6905707638889</v>
      </c>
    </row>
    <row r="143" spans="1:6" s="90" customFormat="1" ht="15.75" customHeight="1">
      <c r="A143" s="385" t="s">
        <v>220</v>
      </c>
      <c r="B143" s="385"/>
      <c r="C143" s="385"/>
      <c r="D143" s="96"/>
      <c r="E143" s="233">
        <f>SUM(E138:E142)</f>
        <v>5923.4132669930241</v>
      </c>
      <c r="F143" s="233">
        <f>SUM(F138:F142)</f>
        <v>6145.4196378257357</v>
      </c>
    </row>
    <row r="144" spans="1:6">
      <c r="A144" s="37" t="s">
        <v>130</v>
      </c>
      <c r="B144" s="319" t="s">
        <v>214</v>
      </c>
      <c r="C144" s="319"/>
      <c r="D144" s="35"/>
      <c r="E144" s="85">
        <f>E133</f>
        <v>1237.2893135380123</v>
      </c>
      <c r="F144" s="85">
        <f>F133</f>
        <v>1283.6622572762622</v>
      </c>
    </row>
    <row r="145" spans="1:6" ht="15.75" customHeight="1">
      <c r="A145" s="379" t="s">
        <v>215</v>
      </c>
      <c r="B145" s="379"/>
      <c r="C145" s="379"/>
      <c r="D145" s="35"/>
      <c r="E145" s="88">
        <f>ROUND(SUM(E143+E144),2)</f>
        <v>7160.7</v>
      </c>
      <c r="F145" s="88">
        <f t="shared" ref="F145" si="13">ROUND(SUM(F143+F144),2)</f>
        <v>7429.08</v>
      </c>
    </row>
  </sheetData>
  <mergeCells count="85">
    <mergeCell ref="B139:C139"/>
    <mergeCell ref="A143:C143"/>
    <mergeCell ref="B144:C144"/>
    <mergeCell ref="A145:C145"/>
    <mergeCell ref="B122:C122"/>
    <mergeCell ref="B123:C123"/>
    <mergeCell ref="A133:B133"/>
    <mergeCell ref="A135:F135"/>
    <mergeCell ref="B137:C137"/>
    <mergeCell ref="B138:C138"/>
    <mergeCell ref="B121:C121"/>
    <mergeCell ref="B107:C107"/>
    <mergeCell ref="B108:C108"/>
    <mergeCell ref="A109:C109"/>
    <mergeCell ref="A111:F111"/>
    <mergeCell ref="B112:C112"/>
    <mergeCell ref="B113:C113"/>
    <mergeCell ref="B114:C114"/>
    <mergeCell ref="B115:C115"/>
    <mergeCell ref="B117:C117"/>
    <mergeCell ref="A118:C118"/>
    <mergeCell ref="A120:F120"/>
    <mergeCell ref="B116:C116"/>
    <mergeCell ref="B106:C106"/>
    <mergeCell ref="A83:B83"/>
    <mergeCell ref="A85:F85"/>
    <mergeCell ref="A86:F86"/>
    <mergeCell ref="A88:C88"/>
    <mergeCell ref="A97:C97"/>
    <mergeCell ref="A99:E99"/>
    <mergeCell ref="A100:C100"/>
    <mergeCell ref="B101:C101"/>
    <mergeCell ref="B102:C102"/>
    <mergeCell ref="A103:C103"/>
    <mergeCell ref="A105:F105"/>
    <mergeCell ref="A75:C75"/>
    <mergeCell ref="A52:B52"/>
    <mergeCell ref="A54:F54"/>
    <mergeCell ref="A62:C62"/>
    <mergeCell ref="A64:F64"/>
    <mergeCell ref="B66:C66"/>
    <mergeCell ref="B67:C67"/>
    <mergeCell ref="B68:C68"/>
    <mergeCell ref="B69:C69"/>
    <mergeCell ref="A70:C70"/>
    <mergeCell ref="A73:F73"/>
    <mergeCell ref="A74:C74"/>
    <mergeCell ref="B55:C55"/>
    <mergeCell ref="B56:C56"/>
    <mergeCell ref="B57:C57"/>
    <mergeCell ref="B58:C58"/>
    <mergeCell ref="A42:C42"/>
    <mergeCell ref="B25:C25"/>
    <mergeCell ref="B26:C26"/>
    <mergeCell ref="B27:C27"/>
    <mergeCell ref="B28:C28"/>
    <mergeCell ref="B29:C29"/>
    <mergeCell ref="B30:C30"/>
    <mergeCell ref="A31:C31"/>
    <mergeCell ref="A33:F33"/>
    <mergeCell ref="A35:F35"/>
    <mergeCell ref="A39:B39"/>
    <mergeCell ref="A41:F41"/>
    <mergeCell ref="B17:C17"/>
    <mergeCell ref="B11:C11"/>
    <mergeCell ref="A20:F20"/>
    <mergeCell ref="B22:C22"/>
    <mergeCell ref="B23:C23"/>
    <mergeCell ref="B18:C18"/>
    <mergeCell ref="B59:C59"/>
    <mergeCell ref="B60:C60"/>
    <mergeCell ref="B61:C61"/>
    <mergeCell ref="B12:C12"/>
    <mergeCell ref="A1:E1"/>
    <mergeCell ref="A3:E3"/>
    <mergeCell ref="A4:E4"/>
    <mergeCell ref="A6:F6"/>
    <mergeCell ref="B8:C8"/>
    <mergeCell ref="B24:C24"/>
    <mergeCell ref="B13:C13"/>
    <mergeCell ref="B10:C10"/>
    <mergeCell ref="B14:C14"/>
    <mergeCell ref="B15:C15"/>
    <mergeCell ref="B9:C9"/>
    <mergeCell ref="B16:C16"/>
  </mergeCells>
  <pageMargins left="0.25" right="0.25" top="0.75" bottom="0.75" header="0.3" footer="0.3"/>
  <pageSetup paperSize="3" fitToHeight="0" orientation="landscape" r:id="rId1"/>
  <headerFooter>
    <oddFooter>&amp;C&amp;A
&amp;P de &amp;N</oddFooter>
  </headerFooter>
  <rowBreaks count="4" manualBreakCount="4">
    <brk id="39" max="5" man="1"/>
    <brk id="70" max="5" man="1"/>
    <brk id="97" max="5" man="1"/>
    <brk id="118"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16</vt:i4>
      </vt:variant>
      <vt:variant>
        <vt:lpstr>Intervalos Nomeados</vt:lpstr>
      </vt:variant>
      <vt:variant>
        <vt:i4>28</vt:i4>
      </vt:variant>
    </vt:vector>
  </HeadingPairs>
  <TitlesOfParts>
    <vt:vector size="44" baseType="lpstr">
      <vt:lpstr>PROPOSTA_GLOBAL</vt:lpstr>
      <vt:lpstr>NOTAS_EXPLICATIVAS</vt:lpstr>
      <vt:lpstr>DADOS_BASICOS</vt:lpstr>
      <vt:lpstr>CURITIBA</vt:lpstr>
      <vt:lpstr>GUARAPUAVA</vt:lpstr>
      <vt:lpstr>LONDRINA</vt:lpstr>
      <vt:lpstr>MARINGA</vt:lpstr>
      <vt:lpstr>PARANAGUA</vt:lpstr>
      <vt:lpstr>PONTA_GROSSA</vt:lpstr>
      <vt:lpstr>UNIFORMES</vt:lpstr>
      <vt:lpstr>EQUIPAMENTOS</vt:lpstr>
      <vt:lpstr>UTENSÍLIOS</vt:lpstr>
      <vt:lpstr>INSUMOS</vt:lpstr>
      <vt:lpstr>MATERIAIS_HIGIENE_PESSOAL</vt:lpstr>
      <vt:lpstr>PRODUTIVIDADE</vt:lpstr>
      <vt:lpstr>DEM_CUSTO_M2 (serv+enc)</vt:lpstr>
      <vt:lpstr>CURITIBA!Area_de_impressao</vt:lpstr>
      <vt:lpstr>'DEM_CUSTO_M2 (serv+enc)'!Area_de_impressao</vt:lpstr>
      <vt:lpstr>EQUIPAMENTOS!Area_de_impressao</vt:lpstr>
      <vt:lpstr>GUARAPUAVA!Area_de_impressao</vt:lpstr>
      <vt:lpstr>INSUMOS!Area_de_impressao</vt:lpstr>
      <vt:lpstr>LONDRINA!Area_de_impressao</vt:lpstr>
      <vt:lpstr>MARINGA!Area_de_impressao</vt:lpstr>
      <vt:lpstr>MATERIAIS_HIGIENE_PESSOAL!Area_de_impressao</vt:lpstr>
      <vt:lpstr>NOTAS_EXPLICATIVAS!Area_de_impressao</vt:lpstr>
      <vt:lpstr>PARANAGUA!Area_de_impressao</vt:lpstr>
      <vt:lpstr>PONTA_GROSSA!Area_de_impressao</vt:lpstr>
      <vt:lpstr>PROPOSTA_GLOBAL!Area_de_impressao</vt:lpstr>
      <vt:lpstr>UNIFORMES!Area_de_impressao</vt:lpstr>
      <vt:lpstr>UTENSÍLIOS!Area_de_impressao</vt:lpstr>
      <vt:lpstr>CURITIBA!Titulos_de_impressao</vt:lpstr>
      <vt:lpstr>DADOS_BASICOS!Titulos_de_impressao</vt:lpstr>
      <vt:lpstr>'DEM_CUSTO_M2 (serv+enc)'!Titulos_de_impressao</vt:lpstr>
      <vt:lpstr>EQUIPAMENTOS!Titulos_de_impressao</vt:lpstr>
      <vt:lpstr>GUARAPUAVA!Titulos_de_impressao</vt:lpstr>
      <vt:lpstr>INSUMOS!Titulos_de_impressao</vt:lpstr>
      <vt:lpstr>LONDRINA!Titulos_de_impressao</vt:lpstr>
      <vt:lpstr>MARINGA!Titulos_de_impressao</vt:lpstr>
      <vt:lpstr>MATERIAIS_HIGIENE_PESSOAL!Titulos_de_impressao</vt:lpstr>
      <vt:lpstr>NOTAS_EXPLICATIVAS!Titulos_de_impressao</vt:lpstr>
      <vt:lpstr>PARANAGUA!Titulos_de_impressao</vt:lpstr>
      <vt:lpstr>PONTA_GROSSA!Titulos_de_impressao</vt:lpstr>
      <vt:lpstr>PRODUTIVIDADE!Titulos_de_impressao</vt:lpstr>
      <vt:lpstr>UTENSÍLIOS!Titulos_de_impressao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2025-06-03T17:56:26Z</dcterms:created>
  <dcterms:modified xsi:type="dcterms:W3CDTF">2025-10-02T09:52:18Z</dcterms:modified>
  <cp:category/>
  <cp:contentStatus/>
</cp:coreProperties>
</file>